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io-1\Downloads\"/>
    </mc:Choice>
  </mc:AlternateContent>
  <xr:revisionPtr revIDLastSave="0" documentId="13_ncr:1_{82FDD7C9-CFEB-41B1-B558-1D1CAB6897E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alculateur" sheetId="1" r:id="rId1"/>
    <sheet name="Sinistralite" sheetId="2" r:id="rId2"/>
    <sheet name="Baremes" sheetId="3" r:id="rId3"/>
    <sheet name="Guid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2" l="1"/>
  <c r="E23" i="2"/>
  <c r="B31" i="1" s="1"/>
  <c r="F18" i="2"/>
  <c r="F19" i="2" s="1"/>
  <c r="B30" i="1" s="1"/>
  <c r="B32" i="1" s="1"/>
  <c r="B37" i="1" s="1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B36" i="1"/>
  <c r="B35" i="1"/>
  <c r="B34" i="1"/>
  <c r="B33" i="1"/>
  <c r="B21" i="1"/>
  <c r="B20" i="1"/>
  <c r="B41" i="1" l="1"/>
  <c r="B40" i="1"/>
  <c r="B38" i="1"/>
  <c r="B39" i="1" s="1"/>
  <c r="B10" i="1"/>
  <c r="B42" i="1" l="1"/>
  <c r="B43" i="1"/>
  <c r="B44" i="1"/>
  <c r="B6" i="1" s="1"/>
  <c r="B7" i="1"/>
  <c r="B8" i="1" l="1"/>
  <c r="B9" i="1"/>
</calcChain>
</file>

<file path=xl/sharedStrings.xml><?xml version="1.0" encoding="utf-8"?>
<sst xmlns="http://schemas.openxmlformats.org/spreadsheetml/2006/main" count="220" uniqueCount="216">
  <si>
    <t>Résultat</t>
  </si>
  <si>
    <t>Taux net simulé après écrêtement</t>
  </si>
  <si>
    <t>Saisir les cellules jaunes.</t>
  </si>
  <si>
    <t>Taux net théorique avant écrêtement</t>
  </si>
  <si>
    <t>Utiliser le compte employeur et la feuille de calcul CARSAT.</t>
  </si>
  <si>
    <t>Cotisation annuelle estimée (€)</t>
  </si>
  <si>
    <t>Estimation : la notification de la caisse fait foi.</t>
  </si>
  <si>
    <t>Écart avec le taux notifié (points)</t>
  </si>
  <si>
    <t>État de la saisie</t>
  </si>
  <si>
    <t>1. Établissement et mode de tarification</t>
  </si>
  <si>
    <t>Établissement / périmètre</t>
  </si>
  <si>
    <t>Un établissement ou un taux unique autorisé.</t>
  </si>
  <si>
    <t>SIRET / code risque</t>
  </si>
  <si>
    <t>Code risque de la notification, distinct du code NAF.</t>
  </si>
  <si>
    <t>Territoire</t>
  </si>
  <si>
    <t>Hors Alsace-Moselle</t>
  </si>
  <si>
    <t>Départements 57, 67 et 68 : choisir Alsace-Moselle.</t>
  </si>
  <si>
    <t>Secteur / barème CTN</t>
  </si>
  <si>
    <t>A</t>
  </si>
  <si>
    <t>Voir la correspondance des secteurs dans Baremes.</t>
  </si>
  <si>
    <t>Effectif entreprise retenu par la caisse</t>
  </si>
  <si>
    <t>Effectif global, tous établissements. Ne pas saisir celui du seul site.</t>
  </si>
  <si>
    <t>Mode notifié / retenu</t>
  </si>
  <si>
    <t>Choisir selon la caisse. Le franchissement de seuil peut être différé.</t>
  </si>
  <si>
    <t>Création / collectif obligatoire</t>
  </si>
  <si>
    <t>Non</t>
  </si>
  <si>
    <t>Oui uniquement si le taux collectif est applicable selon la caisse.</t>
  </si>
  <si>
    <t>Mode appliqué au calcul</t>
  </si>
  <si>
    <t>Le collectif obligatoire prime sur le mode sélectionné.</t>
  </si>
  <si>
    <t>Mode indicatif selon effectif</t>
  </si>
  <si>
    <t>Repère sans gestion de la neutralisation des seuils.</t>
  </si>
  <si>
    <t>Taux net collectif 2026</t>
  </si>
  <si>
    <t>Taux net notifié 2025</t>
  </si>
  <si>
    <t>Nécessaire pour appliquer les limites annuelles.</t>
  </si>
  <si>
    <t>Appliquer les limites annuelles</t>
  </si>
  <si>
    <t>Oui</t>
  </si>
  <si>
    <t>Non : seulement si la caisse confirme une exception / sans antériorité.</t>
  </si>
  <si>
    <t>Masse salariale prévisionnelle 2026 (€)</t>
  </si>
  <si>
    <t>Facultative. Même périmètre que le taux simulé.</t>
  </si>
  <si>
    <t>Taux net notifié 2026 (comparaison)</t>
  </si>
  <si>
    <t>Facultatif. Reprendre la notification de la caisse.</t>
  </si>
  <si>
    <t>Base de la valeur du risque</t>
  </si>
  <si>
    <t>Coûts moyens</t>
  </si>
  <si>
    <t>Valeur notifiée : saisir les montants dans Sinistralite.</t>
  </si>
  <si>
    <t>2. Calcul détaillé</t>
  </si>
  <si>
    <t>Valeur du risque 2022–2024 (€)</t>
  </si>
  <si>
    <t>Masse salariale 2022–2024 (€)</t>
  </si>
  <si>
    <t>Taux brut individuel</t>
  </si>
  <si>
    <t>M1 — Accidents de trajet</t>
  </si>
  <si>
    <t>M2 — Charges de gestion</t>
  </si>
  <si>
    <t>M3 — Charges mutualisées</t>
  </si>
  <si>
    <t>M4 — Pénibilité</t>
  </si>
  <si>
    <t>Taux net individuel théorique</t>
  </si>
  <si>
    <t>(Taux brut + M1) × (1 + M2) + M3 + M4</t>
  </si>
  <si>
    <t>Fraction individuelle</t>
  </si>
  <si>
    <t>Formule réglementaire liée au territoire et à l’effectif.</t>
  </si>
  <si>
    <t>Fraction collective</t>
  </si>
  <si>
    <t>Taux net théorique non arrondi</t>
  </si>
  <si>
    <t>Fraction individuelle × taux individuel + fraction collective × taux collectif.</t>
  </si>
  <si>
    <t>Limites annuelles applicables</t>
  </si>
  <si>
    <t>Limite basse du taux net</t>
  </si>
  <si>
    <t>Taux 2025 &gt; 4 % : baisse maximale de 20 %. Sinon : 0,8 point.</t>
  </si>
  <si>
    <t>Limite haute du taux net</t>
  </si>
  <si>
    <t>Taux 2025 &gt; 4 % : hausse maximale de 25 %. Sinon : 1 point.</t>
  </si>
  <si>
    <t>Taux après limites, non arrondi</t>
  </si>
  <si>
    <t>Arrondi du taux théorique au centième de point, puis écrêtement.</t>
  </si>
  <si>
    <t>Périmètre et précautions</t>
  </si>
  <si>
    <t>Paramètres 2026 exclusivement. Ne pas utiliser ce fichier pour 2027 sans actualiser les règles et les barèmes.</t>
  </si>
  <si>
    <t>Calcul par établissement / catégorie de risque. Un taux unique nécessite un périmètre consolidé validé par la caisse.</t>
  </si>
  <si>
    <t>Remises, ristournes et cotisations supplémentaires de prévention ne sont pas intégrées. Comparer hors ces décisions.</t>
  </si>
  <si>
    <t>Régimes spéciaux, intérim et coûts moyens ajustés : utiliser une valeur du risque validée par la caisse, ou son simulateur.</t>
  </si>
  <si>
    <t>Les taux sont exprimés en pourcentage des salaires bruts soumis à cotisation. Le taux net reste une cotisation employeur.</t>
  </si>
  <si>
    <t>Sinistralité et masses salariales</t>
  </si>
  <si>
    <t>Recopier les données retenues par la caisse. Une absence de sinistre doit être saisie à 0.</t>
  </si>
  <si>
    <t>1. Nombre de sinistres par catégorie</t>
  </si>
  <si>
    <t>Catégorie</t>
  </si>
  <si>
    <t>Coût moyen 2026 (€)</t>
  </si>
  <si>
    <t>Valeur du risque (€)</t>
  </si>
  <si>
    <t>IT 1 — Sans arrêt / moins de 4 jours</t>
  </si>
  <si>
    <t>IT 2 — De 4 à 15 jours</t>
  </si>
  <si>
    <t>IT 3 — De 16 à 45 jours</t>
  </si>
  <si>
    <t>IT 4 — De 46 à 90 jours</t>
  </si>
  <si>
    <t>IT 5 — De 91 à 150 jours</t>
  </si>
  <si>
    <t>IT 6 — Plus de 150 jours</t>
  </si>
  <si>
    <t>IP 1 — Moins de 10 %</t>
  </si>
  <si>
    <t>IP 2 — De 10 % à 19 %</t>
  </si>
  <si>
    <t>IP 3 — De 20 % à 39 %</t>
  </si>
  <si>
    <t>IP 4 — 40 % et plus / décès</t>
  </si>
  <si>
    <t>Correction officielle documentée (€)</t>
  </si>
  <si>
    <t>Valeur du risque calculée</t>
  </si>
  <si>
    <t>2. Masses salariales et valeur notifiée</t>
  </si>
  <si>
    <t>Donnée (€)</t>
  </si>
  <si>
    <t>Total 3 années (€)</t>
  </si>
  <si>
    <t>Salaires soumis à cotisation du périmètre</t>
  </si>
  <si>
    <t>Valeur du risque retenue par la caisse</t>
  </si>
  <si>
    <t>Ligne 25 utilisée uniquement avec « Valeur notifiée » dans Simulateur.</t>
  </si>
  <si>
    <t>Règles de saisie</t>
  </si>
  <si>
    <t>Les années 2022–2024 sont la période de référence du taux 2026.</t>
  </si>
  <si>
    <t>IT : imputation selon l’année de déclaration retenue au compte employeur, avec la catégorie définitive.</t>
  </si>
  <si>
    <t>IP : imputation selon la première notification du taux IP / reconnaissance du décès, pas l’année de l’accident.</t>
  </si>
  <si>
    <t>Un sinistre peut être compté en IT et en IP. Ne pas supprimer cette double composante.</t>
  </si>
  <si>
    <t>Exclure les accidents de trajet, les rechutes et les événements non imputés au compte employeur.</t>
  </si>
  <si>
    <t>BTP hors Alsace-Moselle : les catégories IP ≥ 10 % utilisent le même forfait selon la branche choisie.</t>
  </si>
  <si>
    <t>Correction officielle : déduction pour recours contre tiers, ajustement ou autre correction validée. Documenter ci-dessous.</t>
  </si>
  <si>
    <t>La correction peut être négative. Elle complète le calcul par catégories et ne doit pas être comptée deux fois.</t>
  </si>
  <si>
    <t>Saisir la ligne 25 si la feuille de calcul CARSAT fournit directement la valeur du risque, notamment pour un régime particulier.</t>
  </si>
  <si>
    <t>Justificatif de la correction (référence / motif)</t>
  </si>
  <si>
    <t>Barèmes officiels 2026</t>
  </si>
  <si>
    <t>Sources consultées le 02/10/2026. Paramètres fixes de cette version.</t>
  </si>
  <si>
    <t>Majorations nationales</t>
  </si>
  <si>
    <t>M1</t>
  </si>
  <si>
    <t>Accidents de trajet</t>
  </si>
  <si>
    <t>M2</t>
  </si>
  <si>
    <t>Charges de gestion</t>
  </si>
  <si>
    <t>M3</t>
  </si>
  <si>
    <t>Charges mutualisées</t>
  </si>
  <si>
    <t>M4</t>
  </si>
  <si>
    <t>Pénibilité</t>
  </si>
  <si>
    <t>Coûts moyens par CTN et catégorie (€)</t>
  </si>
  <si>
    <t>Clé</t>
  </si>
  <si>
    <t>Secteur</t>
  </si>
  <si>
    <t>IT 1</t>
  </si>
  <si>
    <t>IT 2</t>
  </si>
  <si>
    <t>IT 3</t>
  </si>
  <si>
    <t>IT 4</t>
  </si>
  <si>
    <t>IT 5</t>
  </si>
  <si>
    <t>IT 6</t>
  </si>
  <si>
    <t>IP &lt; 10 %</t>
  </si>
  <si>
    <t>IP 10–19 %</t>
  </si>
  <si>
    <t>IP 20–39 %</t>
  </si>
  <si>
    <t>IP ≥ 40 %</t>
  </si>
  <si>
    <t>Métallurgie</t>
  </si>
  <si>
    <t>B Gros oeuvre</t>
  </si>
  <si>
    <t>BTP gros œuvre</t>
  </si>
  <si>
    <t>B Second oeuvre</t>
  </si>
  <si>
    <t>BTP second œuvre</t>
  </si>
  <si>
    <t>B Supports</t>
  </si>
  <si>
    <t>BTP fonctions support</t>
  </si>
  <si>
    <t>B Alsace-Moselle</t>
  </si>
  <si>
    <t>BTP Alsace-Moselle</t>
  </si>
  <si>
    <t>C</t>
  </si>
  <si>
    <t>Transports, eau, gaz…</t>
  </si>
  <si>
    <t>D</t>
  </si>
  <si>
    <t>Alimentation</t>
  </si>
  <si>
    <t>E</t>
  </si>
  <si>
    <t>Chimie, plasturgie</t>
  </si>
  <si>
    <t>F</t>
  </si>
  <si>
    <t>Bois, textile, papier…</t>
  </si>
  <si>
    <t>G</t>
  </si>
  <si>
    <t>Commerces non alimentaires</t>
  </si>
  <si>
    <t>H</t>
  </si>
  <si>
    <t>Services 1</t>
  </si>
  <si>
    <t>I</t>
  </si>
  <si>
    <t>Services 2</t>
  </si>
  <si>
    <t>Sources et règles</t>
  </si>
  <si>
    <t>Majorations 2026</t>
  </si>
  <si>
    <t>https://www.legifrance.gouv.fr/loda/id/JORFTEXT000053228966</t>
  </si>
  <si>
    <t>Coûts moyens 2026 — Annexe 2</t>
  </si>
  <si>
    <t>https://www.legifrance.gouv.fr/loda/article_lc/LEGIARTI000053266190/2026-05-09</t>
  </si>
  <si>
    <t>Fraction mixte — D.242-6-13</t>
  </si>
  <si>
    <t>https://www.legifrance.gouv.fr/codes/article_lc/LEGIARTI000036445959</t>
  </si>
  <si>
    <t>Écrêtement — D.242-6-15</t>
  </si>
  <si>
    <t>https://www.legifrance.gouv.fr/codes/article_lc/LEGIARTI000028429426</t>
  </si>
  <si>
    <t>Alsace-Moselle — D.242-37</t>
  </si>
  <si>
    <t>https://www.legifrance.gouv.fr/codes/article_lc/LEGIARTI000036445951</t>
  </si>
  <si>
    <t>Alsace-Moselle — D.242-38</t>
  </si>
  <si>
    <t>https://www.legifrance.gouv.fr/codes/article_lc/LEGIARTI000028429428</t>
  </si>
  <si>
    <t>Ameli — Calcul du taux</t>
  </si>
  <si>
    <t>https://www.ameli.fr/entreprise/votre-entreprise/cotisation-atmp/calcul-taux-atmp-moins-150-salaries</t>
  </si>
  <si>
    <t>CARSAT Alsace-Moselle</t>
  </si>
  <si>
    <t>https://www.carsat-alsacemoselle.fr/home/entreprises/comprendre-vos-cotisations-at-mp.html</t>
  </si>
  <si>
    <t>Net-entreprises — Simulateur</t>
  </si>
  <si>
    <t>https://www.net-entreprises.fr/le-compte-entreprise-propose-3-nouvelles-fonctionnalites-pour-les-entreprises-et-les-tiers-declarants/</t>
  </si>
  <si>
    <t>Imputation — D.242-6-4 à 8</t>
  </si>
  <si>
    <t>https://www.legifrance.gouv.fr/codes/id/LEGISCTA000006194234</t>
  </si>
  <si>
    <t>Mode d’emploi</t>
  </si>
  <si>
    <t>Calculer le taux net 2026</t>
  </si>
  <si>
    <t>1. Préparer</t>
  </si>
  <si>
    <t>Télécharger la notification 2026, celle de 2025 et les comptes employeur 2022, 2023 et 2024 dans Net-entreprises.</t>
  </si>
  <si>
    <t>2. Identifier le périmètre</t>
  </si>
  <si>
    <t>Saisir le territoire, le CTN, l’effectif global et le mode retenu par la caisse. En cas de taux unique, consolider les données du périmètre autorisé.</t>
  </si>
  <si>
    <t>3. Renseigner les taux</t>
  </si>
  <si>
    <t>Renseigner le taux NET collectif du code risque, puis le taux net notifié 2025 pour les limites annuelles. Ne pas ajouter les majorations au taux collectif : elles y sont déjà incluses.</t>
  </si>
  <si>
    <t>4. Choisir la méthode</t>
  </si>
  <si>
    <t>Coûts moyens : saisir les effectifs de sinistres par catégorie, y compris les zéros. Valeur notifiée : recopier directement la valeur du risque validée par la caisse.</t>
  </si>
  <si>
    <t>5. Saisir les salaires</t>
  </si>
  <si>
    <t>Renseigner les masses salariales des trois années du même périmètre. La masse prévisionnelle 2026 sert uniquement à estimer la cotisation annuelle.</t>
  </si>
  <si>
    <t>6. Lire le résultat</t>
  </si>
  <si>
    <t>Le taux net simulé se trouve en B6 de Simulateur. Le taux avant limites et chaque étape restent visibles. Un résultat vide signale une donnée nécessaire manquante.</t>
  </si>
  <si>
    <t>7. Comparer</t>
  </si>
  <si>
    <t>Saisir le taux officiel 2026 pour afficher l’écart en points. Investiguer les imputations, corrections, périmètres, remises et arrondis si un écart subsiste.</t>
  </si>
  <si>
    <t>Formules et conditions</t>
  </si>
  <si>
    <t>Taux brut</t>
  </si>
  <si>
    <t>Taux brut individuel = valeur du risque des trois années / salaires soumis à cotisation des trois années.</t>
  </si>
  <si>
    <t>Majorations</t>
  </si>
  <si>
    <t>Taux net individuel = (taux brut + 0,19 %) × 1,52 + 0,17 % + 0,03 %. Calcul conservé sans arrondi intermédiaire.</t>
  </si>
  <si>
    <t>Hors Alsace-Moselle : fraction individuelle du taux mixte = 0,9 / 130 × (effectif − 20) + 0,1.</t>
  </si>
  <si>
    <t>Alsace-Moselle hors BTP : fraction individuelle = (0,075 × effectif − 1,25) / 10.</t>
  </si>
  <si>
    <t>Alsace-Moselle BTP : fraction individuelle = (0,075 × effectif + 2,5) / 25.</t>
  </si>
  <si>
    <t>Limites annuelles</t>
  </si>
  <si>
    <t>Écrêtement : régime général, taux mixte et individuel. Alsace-Moselle : taux collectif, mixte et individuel.</t>
  </si>
  <si>
    <t>Mode de tarification</t>
  </si>
  <si>
    <t>Le mode indicatif dépend uniquement de l’effectif saisi. Le mode choisi doit intégrer les règles de franchissement de seuil et les cas obligatoirement collectifs.</t>
  </si>
  <si>
    <t>Arrondis</t>
  </si>
  <si>
    <t>Le taux final est arrondi au centième de point. La notification peut comporter des particularités de calcul à rapprocher avec la caisse.</t>
  </si>
  <si>
    <t>Barèmes</t>
  </si>
  <si>
    <t>Les barèmes couvrent les CTN A à I, dont les branches BTP. Un barème ajusté spécifique nécessite une valeur du risque validée.</t>
  </si>
  <si>
    <t>Cas particuliers</t>
  </si>
  <si>
    <t>L’outil simule le taux de base. Il ne calcule pas les ristournes, majorations de prévention, partage intérim / entreprise utilisatrice ou régimes spéciaux.</t>
  </si>
  <si>
    <t>Établissement récent</t>
  </si>
  <si>
    <t>Pour un établissement récent, ne désactiver les limites annuelles que si la caisse confirme leur absence. Le passage à un taux mixte après trois ans ne les supprime pas à lui seul.</t>
  </si>
  <si>
    <t>Notification officielle</t>
  </si>
  <si>
    <t>Avant diffusion ou utilisation en paie : rapprocher le résultat du compte entreprise. Le fichier est un simulateur indépendant, sans agrément Net-entreprises ou CARSAT.</t>
  </si>
  <si>
    <t>Evaluation taux net AT/MP</t>
  </si>
  <si>
    <t>Tarification 2026 — Régime général</t>
  </si>
  <si>
    <r>
      <t xml:space="preserve">Reprendre le barème du code risque en cours, c’est-à-dire celui calculé pour l'année précédente. </t>
    </r>
    <r>
      <rPr>
        <u/>
        <sz val="11"/>
        <color rgb="FF223447"/>
        <rFont val="Arial"/>
        <family val="2"/>
      </rPr>
      <t xml:space="preserve">Cet indicateur est la seule variable pour l'estimation de votre taux de cotisation à N+1 puisque mis à jour chaque début d'année </t>
    </r>
    <r>
      <rPr>
        <sz val="11"/>
        <color rgb="FF223447"/>
        <rFont val="Arial"/>
      </rPr>
      <t>Saisir 2,50 % avec le signe 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</si>
</sst>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color rgb="FF223447"/>
      <name val="Arial"/>
    </font>
    <font>
      <b/>
      <sz val="16"/>
      <color rgb="FF243E59"/>
      <name val="Arial"/>
    </font>
    <font>
      <b/>
      <sz val="11"/>
      <color rgb="FFFFFFFF"/>
      <name val="Arial"/>
    </font>
    <font>
      <sz val="11"/>
      <color rgb="FF17569B"/>
      <name val="Arial"/>
    </font>
    <font>
      <b/>
      <sz val="11"/>
      <color rgb="FF223447"/>
      <name val="Arial"/>
    </font>
    <font>
      <u/>
      <sz val="11"/>
      <color rgb="FF223447"/>
      <name val="Arial"/>
      <family val="2"/>
    </font>
    <font>
      <sz val="11"/>
      <color rgb="FF223447"/>
      <name val="Arial"/>
      <family val="2"/>
    </font>
    <font>
      <b/>
      <sz val="16"/>
      <color rgb="FF243E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43E59"/>
      </patternFill>
    </fill>
    <fill>
      <patternFill patternType="solid">
        <fgColor rgb="FFEAF0F5"/>
      </patternFill>
    </fill>
    <fill>
      <patternFill patternType="solid">
        <fgColor rgb="FFFFF1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0" fontId="2" fillId="3" borderId="0" xfId="0" applyNumberFormat="1" applyFont="1" applyFill="1" applyAlignment="1">
      <alignment vertical="center"/>
    </xf>
    <xf numFmtId="10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4" fillId="4" borderId="0" xfId="0" applyFont="1" applyFill="1" applyAlignment="1">
      <alignment vertical="center"/>
    </xf>
    <xf numFmtId="10" fontId="4" fillId="4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1" fontId="4" fillId="4" borderId="0" xfId="0" applyNumberFormat="1" applyFont="1" applyFill="1" applyAlignment="1">
      <alignment vertical="center"/>
    </xf>
    <xf numFmtId="4" fontId="4" fillId="4" borderId="0" xfId="0" applyNumberFormat="1" applyFont="1" applyFill="1" applyAlignment="1">
      <alignment vertical="center"/>
    </xf>
    <xf numFmtId="4" fontId="5" fillId="3" borderId="0" xfId="0" applyNumberFormat="1" applyFont="1" applyFill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2">
    <dxf>
      <font>
        <color rgb="FFA32E24"/>
      </font>
      <fill>
        <patternFill patternType="solid">
          <bgColor rgb="FFFDE9E7"/>
        </patternFill>
      </fill>
    </dxf>
    <dxf>
      <fill>
        <patternFill patternType="solid">
          <bgColor rgb="FFEAF0F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43E59"/>
  </sheetPr>
  <dimension ref="A1:L70"/>
  <sheetViews>
    <sheetView showGridLines="0" topLeftCell="A8" workbookViewId="0">
      <selection activeCell="J11" sqref="J11"/>
    </sheetView>
  </sheetViews>
  <sheetFormatPr baseColWidth="10" defaultColWidth="9" defaultRowHeight="14.25"/>
  <cols>
    <col min="1" max="1" width="48" customWidth="1"/>
    <col min="2" max="2" width="24" customWidth="1"/>
    <col min="3" max="5" width="22" customWidth="1"/>
    <col min="6" max="6" width="24" customWidth="1"/>
  </cols>
  <sheetData>
    <row r="1" spans="1:12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.95" customHeight="1">
      <c r="A2" s="22" t="s">
        <v>213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.95" customHeight="1">
      <c r="A3" s="1" t="s">
        <v>214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4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4.95" customHeight="1">
      <c r="A5" s="3" t="s">
        <v>0</v>
      </c>
      <c r="B5" s="3"/>
      <c r="C5" s="3"/>
      <c r="D5" s="3"/>
      <c r="E5" s="3"/>
      <c r="F5" s="3"/>
      <c r="G5" s="1"/>
      <c r="H5" s="1"/>
      <c r="I5" s="1"/>
      <c r="J5" s="1"/>
      <c r="K5" s="1"/>
      <c r="L5" s="1"/>
    </row>
    <row r="6" spans="1:12" ht="24.95" customHeight="1">
      <c r="A6" s="4" t="s">
        <v>1</v>
      </c>
      <c r="B6" s="5" t="str">
        <f>IF(OR(AND(B15="Alsace-Moselle",OR(B16="B Gros oeuvre",B16="B Second oeuvre",B16="B Supports")),AND(B15&lt;&gt;"Alsace-Moselle",B16="B Alsace-Moselle")),"",IF(NOT(ISNUMBER(B44)),"",ROUND(B44,4)))</f>
        <v/>
      </c>
      <c r="C6" s="1"/>
      <c r="D6" s="1" t="s">
        <v>2</v>
      </c>
      <c r="E6" s="1"/>
      <c r="F6" s="1"/>
      <c r="G6" s="1"/>
      <c r="H6" s="1"/>
      <c r="I6" s="1"/>
      <c r="J6" s="1"/>
      <c r="K6" s="1"/>
      <c r="L6" s="1"/>
    </row>
    <row r="7" spans="1:12" ht="24.95" customHeight="1">
      <c r="A7" s="1" t="s">
        <v>3</v>
      </c>
      <c r="B7" s="6" t="str">
        <f>IF(NOT(ISNUMBER(B40)),"",ROUND(B40,4))</f>
        <v/>
      </c>
      <c r="C7" s="1"/>
      <c r="D7" s="1" t="s">
        <v>4</v>
      </c>
      <c r="E7" s="1"/>
      <c r="F7" s="1"/>
      <c r="G7" s="1"/>
      <c r="H7" s="1"/>
      <c r="I7" s="1"/>
      <c r="J7" s="1"/>
      <c r="K7" s="1"/>
      <c r="L7" s="1"/>
    </row>
    <row r="8" spans="1:12" ht="24.95" customHeight="1">
      <c r="A8" s="1" t="s">
        <v>5</v>
      </c>
      <c r="B8" s="7" t="str">
        <f>IF(OR(NOT(ISNUMBER(B6)),NOT(ISNUMBER(B25)),B25&lt;0),"",B6*B25)</f>
        <v/>
      </c>
      <c r="C8" s="1"/>
      <c r="D8" s="1" t="s">
        <v>6</v>
      </c>
      <c r="E8" s="1"/>
      <c r="F8" s="1"/>
      <c r="G8" s="1"/>
      <c r="H8" s="1"/>
      <c r="I8" s="1"/>
      <c r="J8" s="1"/>
      <c r="K8" s="1"/>
      <c r="L8" s="1"/>
    </row>
    <row r="9" spans="1:12" ht="24.95" customHeight="1">
      <c r="A9" s="1" t="s">
        <v>7</v>
      </c>
      <c r="B9" s="8" t="str">
        <f>IF(OR(NOT(ISNUMBER(B6)),NOT(ISNUMBER(B26)),B26&lt;0),"",(B6-B26)*100)</f>
        <v/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4.95" customHeight="1">
      <c r="A10" s="1" t="s">
        <v>8</v>
      </c>
      <c r="B10" s="1" t="str">
        <f>IF(B20="","Choisir le mode",IF(OR(AND(B15="Alsace-Moselle",OR(B16="B Gros oeuvre",B16="B Second oeuvre",B16="B Supports")),AND(B15&lt;&gt;"Alsace-Moselle",B16="B Alsace-Moselle")),"Vérifier territoire / BTP",IF(NOT(ISNUMBER(B40)),"Compléter les données",IF(NOT(ISNUMBER(B6)),"Renseigner le taux 2025","Calcul disponible"))))</f>
        <v>Choisir le mode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4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4.95" customHeight="1">
      <c r="A12" s="3" t="s">
        <v>9</v>
      </c>
      <c r="B12" s="3"/>
      <c r="C12" s="3"/>
      <c r="D12" s="3"/>
      <c r="E12" s="3"/>
      <c r="F12" s="3"/>
      <c r="G12" s="1"/>
      <c r="H12" s="1"/>
      <c r="I12" s="1"/>
      <c r="J12" s="1"/>
      <c r="K12" s="1"/>
      <c r="L12" s="1"/>
    </row>
    <row r="13" spans="1:12" ht="24.95" customHeight="1">
      <c r="A13" s="1" t="s">
        <v>10</v>
      </c>
      <c r="B13" s="9"/>
      <c r="C13" s="1"/>
      <c r="D13" s="1" t="s">
        <v>11</v>
      </c>
      <c r="E13" s="1"/>
      <c r="F13" s="1"/>
      <c r="G13" s="1"/>
      <c r="H13" s="1"/>
      <c r="I13" s="1"/>
      <c r="J13" s="1"/>
      <c r="K13" s="1"/>
      <c r="L13" s="1"/>
    </row>
    <row r="14" spans="1:12" ht="24.95" customHeight="1">
      <c r="A14" s="1" t="s">
        <v>12</v>
      </c>
      <c r="B14" s="9"/>
      <c r="C14" s="1"/>
      <c r="D14" s="1" t="s">
        <v>13</v>
      </c>
      <c r="E14" s="1"/>
      <c r="F14" s="1"/>
      <c r="G14" s="1"/>
      <c r="H14" s="1"/>
      <c r="I14" s="1"/>
      <c r="J14" s="1"/>
      <c r="K14" s="1"/>
      <c r="L14" s="1"/>
    </row>
    <row r="15" spans="1:12" ht="24.95" customHeight="1">
      <c r="A15" s="1" t="s">
        <v>14</v>
      </c>
      <c r="B15" s="9" t="s">
        <v>15</v>
      </c>
      <c r="C15" s="1"/>
      <c r="D15" s="1" t="s">
        <v>16</v>
      </c>
      <c r="E15" s="1"/>
      <c r="F15" s="1"/>
      <c r="G15" s="1"/>
      <c r="H15" s="1"/>
      <c r="I15" s="1"/>
      <c r="J15" s="1"/>
      <c r="K15" s="1"/>
      <c r="L15" s="1"/>
    </row>
    <row r="16" spans="1:12" ht="24.95" customHeight="1">
      <c r="A16" s="1" t="s">
        <v>17</v>
      </c>
      <c r="B16" s="9" t="s">
        <v>18</v>
      </c>
      <c r="C16" s="1"/>
      <c r="D16" s="1" t="s">
        <v>19</v>
      </c>
      <c r="E16" s="1"/>
      <c r="F16" s="1"/>
      <c r="G16" s="1"/>
      <c r="H16" s="1"/>
      <c r="I16" s="1"/>
      <c r="J16" s="1"/>
      <c r="K16" s="1"/>
      <c r="L16" s="1"/>
    </row>
    <row r="17" spans="1:12" ht="24.95" customHeight="1">
      <c r="A17" s="1" t="s">
        <v>20</v>
      </c>
      <c r="B17" s="9"/>
      <c r="C17" s="1"/>
      <c r="D17" s="1" t="s">
        <v>21</v>
      </c>
      <c r="E17" s="1"/>
      <c r="F17" s="1"/>
      <c r="G17" s="1"/>
      <c r="H17" s="1"/>
      <c r="I17" s="1"/>
      <c r="J17" s="1"/>
      <c r="K17" s="1"/>
      <c r="L17" s="1"/>
    </row>
    <row r="18" spans="1:12" ht="24.95" customHeight="1">
      <c r="A18" s="1" t="s">
        <v>22</v>
      </c>
      <c r="B18" s="9"/>
      <c r="C18" s="1"/>
      <c r="D18" s="1" t="s">
        <v>23</v>
      </c>
      <c r="E18" s="1"/>
      <c r="F18" s="1"/>
      <c r="G18" s="1"/>
      <c r="H18" s="1"/>
      <c r="I18" s="1"/>
      <c r="J18" s="1"/>
      <c r="K18" s="1"/>
      <c r="L18" s="1"/>
    </row>
    <row r="19" spans="1:12" ht="24.95" customHeight="1">
      <c r="A19" s="1" t="s">
        <v>24</v>
      </c>
      <c r="B19" s="9" t="s">
        <v>25</v>
      </c>
      <c r="C19" s="1"/>
      <c r="D19" s="1" t="s">
        <v>26</v>
      </c>
      <c r="E19" s="1"/>
      <c r="F19" s="1"/>
      <c r="G19" s="1"/>
      <c r="H19" s="1"/>
      <c r="I19" s="1"/>
      <c r="J19" s="1"/>
      <c r="K19" s="1"/>
      <c r="L19" s="1"/>
    </row>
    <row r="20" spans="1:12" ht="24.95" customHeight="1">
      <c r="A20" s="1" t="s">
        <v>27</v>
      </c>
      <c r="B20" s="1" t="str">
        <f>IF(B19="Oui","Collectif",IF(B18="","",B18))</f>
        <v/>
      </c>
      <c r="C20" s="1"/>
      <c r="D20" s="1" t="s">
        <v>28</v>
      </c>
      <c r="E20" s="1"/>
      <c r="F20" s="1"/>
      <c r="G20" s="1"/>
      <c r="H20" s="1"/>
      <c r="I20" s="1"/>
      <c r="J20" s="1"/>
      <c r="K20" s="1"/>
      <c r="L20" s="1"/>
    </row>
    <row r="21" spans="1:12" ht="24.95" customHeight="1">
      <c r="A21" s="1" t="s">
        <v>29</v>
      </c>
      <c r="B21" s="1" t="str">
        <f>IF(NOT(ISNUMBER(B17)),"",IF(B15="Alsace-Moselle",IF(B17&lt;50,"Collectif",IF(B17&lt;IF(B16="B Alsace-Moselle",300,150),"Mixte","Individuel")),IF(B17&lt;20,"Collectif",IF(B17&lt;150,"Mixte","Individuel"))))</f>
        <v/>
      </c>
      <c r="C21" s="1"/>
      <c r="D21" s="1" t="s">
        <v>30</v>
      </c>
      <c r="E21" s="1"/>
      <c r="F21" s="1"/>
      <c r="G21" s="1"/>
      <c r="H21" s="1"/>
      <c r="I21" s="1"/>
      <c r="J21" s="1"/>
      <c r="K21" s="1"/>
      <c r="L21" s="1"/>
    </row>
    <row r="22" spans="1:12" ht="24.95" customHeight="1">
      <c r="A22" s="1" t="s">
        <v>31</v>
      </c>
      <c r="B22" s="10"/>
      <c r="C22" s="1"/>
      <c r="D22" s="21" t="s">
        <v>215</v>
      </c>
      <c r="E22" s="1"/>
      <c r="F22" s="1"/>
      <c r="G22" s="1"/>
      <c r="H22" s="1"/>
      <c r="I22" s="1"/>
      <c r="J22" s="1"/>
      <c r="K22" s="1"/>
      <c r="L22" s="1"/>
    </row>
    <row r="23" spans="1:12" ht="24.95" customHeight="1">
      <c r="A23" s="1" t="s">
        <v>32</v>
      </c>
      <c r="B23" s="10"/>
      <c r="C23" s="1"/>
      <c r="D23" s="1" t="s">
        <v>33</v>
      </c>
      <c r="E23" s="1"/>
      <c r="F23" s="1"/>
      <c r="G23" s="1"/>
      <c r="H23" s="1"/>
      <c r="I23" s="1"/>
      <c r="J23" s="1"/>
      <c r="K23" s="1"/>
      <c r="L23" s="1"/>
    </row>
    <row r="24" spans="1:12" ht="24.95" customHeight="1">
      <c r="A24" s="1" t="s">
        <v>34</v>
      </c>
      <c r="B24" s="9" t="s">
        <v>35</v>
      </c>
      <c r="C24" s="1"/>
      <c r="D24" s="1" t="s">
        <v>36</v>
      </c>
      <c r="E24" s="1"/>
      <c r="F24" s="1"/>
      <c r="G24" s="1"/>
      <c r="H24" s="1"/>
      <c r="I24" s="1"/>
      <c r="J24" s="1"/>
      <c r="K24" s="1"/>
      <c r="L24" s="1"/>
    </row>
    <row r="25" spans="1:12" ht="24.95" customHeight="1">
      <c r="A25" s="1" t="s">
        <v>37</v>
      </c>
      <c r="B25" s="11"/>
      <c r="C25" s="1"/>
      <c r="D25" s="1" t="s">
        <v>38</v>
      </c>
      <c r="E25" s="1"/>
      <c r="F25" s="1"/>
      <c r="G25" s="1"/>
      <c r="H25" s="1"/>
      <c r="I25" s="1"/>
      <c r="J25" s="1"/>
      <c r="K25" s="1"/>
      <c r="L25" s="1"/>
    </row>
    <row r="26" spans="1:12" ht="24.95" customHeight="1">
      <c r="A26" s="1" t="s">
        <v>39</v>
      </c>
      <c r="B26" s="10"/>
      <c r="C26" s="1"/>
      <c r="D26" s="1" t="s">
        <v>40</v>
      </c>
      <c r="E26" s="1"/>
      <c r="F26" s="1"/>
      <c r="G26" s="1"/>
      <c r="H26" s="1"/>
      <c r="I26" s="1"/>
      <c r="J26" s="1"/>
      <c r="K26" s="1"/>
      <c r="L26" s="1"/>
    </row>
    <row r="27" spans="1:12" ht="24.95" customHeight="1">
      <c r="A27" s="1" t="s">
        <v>41</v>
      </c>
      <c r="B27" s="9" t="s">
        <v>42</v>
      </c>
      <c r="C27" s="1"/>
      <c r="D27" s="1" t="s">
        <v>43</v>
      </c>
      <c r="E27" s="1"/>
      <c r="F27" s="1"/>
      <c r="G27" s="1"/>
      <c r="H27" s="1"/>
      <c r="I27" s="1"/>
      <c r="J27" s="1"/>
      <c r="K27" s="1"/>
      <c r="L27" s="1"/>
    </row>
    <row r="28" spans="1:12" ht="24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4.95" customHeight="1">
      <c r="A29" s="3" t="s">
        <v>44</v>
      </c>
      <c r="B29" s="3"/>
      <c r="C29" s="3"/>
      <c r="D29" s="3"/>
      <c r="E29" s="3"/>
      <c r="F29" s="3"/>
      <c r="G29" s="1"/>
      <c r="H29" s="1"/>
      <c r="I29" s="1"/>
      <c r="J29" s="1"/>
      <c r="K29" s="1"/>
      <c r="L29" s="1"/>
    </row>
    <row r="30" spans="1:12" ht="24.95" customHeight="1">
      <c r="A30" s="1" t="s">
        <v>45</v>
      </c>
      <c r="B30" s="7" t="str">
        <f>IF(B27="Valeur notifiée",IF(ISNUMBER(Sinistralite!E25),Sinistralite!E25,""),IF(ISNUMBER(Sinistralite!F19),Sinistralite!F19,""))</f>
        <v/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24.95" customHeight="1">
      <c r="A31" s="1" t="s">
        <v>46</v>
      </c>
      <c r="B31" s="7" t="str">
        <f>IF(ISNUMBER(Sinistralite!E23),Sinistralite!E23,"")</f>
        <v/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4.95" customHeight="1">
      <c r="A32" s="1" t="s">
        <v>47</v>
      </c>
      <c r="B32" s="6" t="str">
        <f>IF(OR(NOT(ISNUMBER(B30)),NOT(ISNUMBER(B31)),B31&lt;=0),"",B30/B31)</f>
        <v/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4.95" customHeight="1">
      <c r="A33" s="1" t="s">
        <v>48</v>
      </c>
      <c r="B33" s="6">
        <f>Baremes!B5</f>
        <v>1.9E-3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4.95" customHeight="1">
      <c r="A34" s="1" t="s">
        <v>49</v>
      </c>
      <c r="B34" s="6">
        <f>Baremes!B6</f>
        <v>0.52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4.95" customHeight="1">
      <c r="A35" s="1" t="s">
        <v>50</v>
      </c>
      <c r="B35" s="6">
        <f>Baremes!B7</f>
        <v>1.6999999999999999E-3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24.95" customHeight="1">
      <c r="A36" s="1" t="s">
        <v>51</v>
      </c>
      <c r="B36" s="6">
        <f>Baremes!B8</f>
        <v>2.9999999999999997E-4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4.95" customHeight="1">
      <c r="A37" s="1" t="s">
        <v>52</v>
      </c>
      <c r="B37" s="6" t="str">
        <f>IF(NOT(ISNUMBER(B32)),"",(B32+B33)*(1+B34)+B35+B36)</f>
        <v/>
      </c>
      <c r="C37" s="1"/>
      <c r="D37" s="1" t="s">
        <v>53</v>
      </c>
      <c r="E37" s="1"/>
      <c r="F37" s="1"/>
      <c r="G37" s="1"/>
      <c r="H37" s="1"/>
      <c r="I37" s="1"/>
      <c r="J37" s="1"/>
      <c r="K37" s="1"/>
      <c r="L37" s="1"/>
    </row>
    <row r="38" spans="1:12" ht="24.95" customHeight="1">
      <c r="A38" s="1" t="s">
        <v>54</v>
      </c>
      <c r="B38" s="6" t="str">
        <f>IF(B20="Collectif",0,IF(B20="Individuel",1,IF(OR(B20&lt;&gt;"Mixte",NOT(ISNUMBER(B17)),B17&lt;0),"",IF(B15="Alsace-Moselle",IF(B16="B Alsace-Moselle",(0.075*B17+2.5)/25,(0.075*B17-1.25)/10),0.9/130*(B17-20)+0.1))))</f>
        <v/>
      </c>
      <c r="C38" s="1"/>
      <c r="D38" s="1" t="s">
        <v>55</v>
      </c>
      <c r="E38" s="1"/>
      <c r="F38" s="1"/>
      <c r="G38" s="1"/>
      <c r="H38" s="1"/>
      <c r="I38" s="1"/>
      <c r="J38" s="1"/>
      <c r="K38" s="1"/>
      <c r="L38" s="1"/>
    </row>
    <row r="39" spans="1:12" ht="24.95" customHeight="1">
      <c r="A39" s="1" t="s">
        <v>56</v>
      </c>
      <c r="B39" s="6" t="str">
        <f>IF(NOT(ISNUMBER(B38)),"",1-B38)</f>
        <v/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4.95" customHeight="1">
      <c r="A40" s="1" t="s">
        <v>57</v>
      </c>
      <c r="B40" s="6" t="str">
        <f>IF(B20="Collectif",IF(OR(NOT(ISNUMBER(B22)),B22&lt;0),"",B22),IF(B20="Individuel",B37,IF(OR(B20&lt;&gt;"Mixte",NOT(ISNUMBER(B37)),NOT(ISNUMBER(B22)),B22&lt;0,NOT(ISNUMBER(B38)),B38&lt;0,B38&gt;1),"",B37*B38+B22*B39)))</f>
        <v/>
      </c>
      <c r="C40" s="1"/>
      <c r="D40" s="1" t="s">
        <v>58</v>
      </c>
      <c r="E40" s="1"/>
      <c r="F40" s="1"/>
      <c r="G40" s="1"/>
      <c r="H40" s="1"/>
      <c r="I40" s="1"/>
      <c r="J40" s="1"/>
      <c r="K40" s="1"/>
      <c r="L40" s="1"/>
    </row>
    <row r="41" spans="1:12" ht="24.95" customHeight="1">
      <c r="A41" s="1" t="s">
        <v>59</v>
      </c>
      <c r="B41" s="6" t="str">
        <f>IF(B20="","",IF(AND(B24="Oui",OR(B20&lt;&gt;"Collectif",B15="Alsace-Moselle")),"Oui","Non"))</f>
        <v/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.95" customHeight="1">
      <c r="A42" s="1" t="s">
        <v>60</v>
      </c>
      <c r="B42" s="6" t="str">
        <f>IF(OR(B41&lt;&gt;"Oui",NOT(ISNUMBER(B23)),B23&lt;0),"",MAX(0,IF(B23&gt;0.04,B23*0.8,B23-0.008)))</f>
        <v/>
      </c>
      <c r="C42" s="1"/>
      <c r="D42" s="1" t="s">
        <v>61</v>
      </c>
      <c r="E42" s="1"/>
      <c r="F42" s="1"/>
      <c r="G42" s="1"/>
      <c r="H42" s="1"/>
      <c r="I42" s="1"/>
      <c r="J42" s="1"/>
      <c r="K42" s="1"/>
      <c r="L42" s="1"/>
    </row>
    <row r="43" spans="1:12" ht="24.95" customHeight="1">
      <c r="A43" s="1" t="s">
        <v>62</v>
      </c>
      <c r="B43" s="6" t="str">
        <f>IF(OR(B41&lt;&gt;"Oui",NOT(ISNUMBER(B23)),B23&lt;0),"",IF(B23&gt;0.04,B23*1.25,B23+0.01))</f>
        <v/>
      </c>
      <c r="C43" s="1"/>
      <c r="D43" s="1" t="s">
        <v>63</v>
      </c>
      <c r="E43" s="1"/>
      <c r="F43" s="1"/>
      <c r="G43" s="1"/>
      <c r="H43" s="1"/>
      <c r="I43" s="1"/>
      <c r="J43" s="1"/>
      <c r="K43" s="1"/>
      <c r="L43" s="1"/>
    </row>
    <row r="44" spans="1:12" ht="24.95" customHeight="1">
      <c r="A44" s="1" t="s">
        <v>64</v>
      </c>
      <c r="B44" s="6" t="str">
        <f>IF(NOT(ISNUMBER(B40)),"",IF(B41="Non",B40,IF(OR(NOT(ISNUMBER(B42)),NOT(ISNUMBER(B43))),"",MIN(B43,MAX(B42,ROUND(B40,4))))))</f>
        <v/>
      </c>
      <c r="C44" s="1"/>
      <c r="D44" s="1" t="s">
        <v>65</v>
      </c>
      <c r="E44" s="1"/>
      <c r="F44" s="1"/>
      <c r="G44" s="1"/>
      <c r="H44" s="1"/>
      <c r="I44" s="1"/>
      <c r="J44" s="1"/>
      <c r="K44" s="1"/>
      <c r="L44" s="1"/>
    </row>
    <row r="45" spans="1:12" ht="24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.95" customHeight="1">
      <c r="A46" s="3" t="s">
        <v>66</v>
      </c>
      <c r="B46" s="3"/>
      <c r="C46" s="3"/>
      <c r="D46" s="3"/>
      <c r="E46" s="3"/>
      <c r="F46" s="3"/>
      <c r="G46" s="1"/>
      <c r="H46" s="1"/>
      <c r="I46" s="1"/>
      <c r="J46" s="1"/>
      <c r="K46" s="1"/>
      <c r="L46" s="1"/>
    </row>
    <row r="47" spans="1:12" ht="24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30" customHeight="1">
      <c r="A48" s="1" t="s">
        <v>67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30" customHeight="1">
      <c r="A49" s="1" t="s">
        <v>68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30" customHeight="1">
      <c r="A50" s="1" t="s">
        <v>69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30" customHeight="1">
      <c r="A51" s="1" t="s">
        <v>70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30" customHeight="1">
      <c r="A52" s="1" t="s">
        <v>71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24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4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4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24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4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4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4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24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4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24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24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24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24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24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24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24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</sheetData>
  <conditionalFormatting sqref="B10">
    <cfRule type="containsText" dxfId="1" priority="1" operator="containsText" text="Calcul disponible"/>
    <cfRule type="notContainsText" dxfId="0" priority="2" operator="notContains" text="Calcul disponible"/>
  </conditionalFormatting>
  <dataValidations count="8">
    <dataValidation type="list" sqref="B15" xr:uid="{00000000-0002-0000-0000-000000000000}">
      <formula1>"Hors Alsace-Moselle,Alsace-Moselle"</formula1>
    </dataValidation>
    <dataValidation type="list" sqref="B16" xr:uid="{00000000-0002-0000-0000-000001000000}">
      <formula1>"A,B Gros oeuvre,B Second oeuvre,B Supports,B Alsace-Moselle,C,D,E,F,G,H,I"</formula1>
    </dataValidation>
    <dataValidation type="list" sqref="B18" xr:uid="{00000000-0002-0000-0000-000002000000}">
      <formula1>"Collectif,Mixte,Individuel"</formula1>
    </dataValidation>
    <dataValidation type="list" sqref="B19 B24" xr:uid="{00000000-0002-0000-0000-000003000000}">
      <formula1>"Oui,Non"</formula1>
    </dataValidation>
    <dataValidation type="list" sqref="B27" xr:uid="{00000000-0002-0000-0000-000005000000}">
      <formula1>"Coûts moyens,Valeur notifiée"</formula1>
    </dataValidation>
    <dataValidation type="decimal" sqref="B17" xr:uid="{00000000-0002-0000-0000-000006000000}">
      <formula1>0</formula1>
      <formula2>10000000</formula2>
    </dataValidation>
    <dataValidation type="decimal" sqref="B25" xr:uid="{00000000-0002-0000-0000-000007000000}">
      <formula1>0</formula1>
      <formula2>1000000000000</formula2>
    </dataValidation>
    <dataValidation type="decimal" sqref="B22:B23 B26" xr:uid="{00000000-0002-0000-0000-000008000000}">
      <formula1>0</formula1>
      <formula2>1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C7893"/>
  </sheetPr>
  <dimension ref="A1:L70"/>
  <sheetViews>
    <sheetView showGridLines="0" workbookViewId="0">
      <pane ySplit="7" topLeftCell="A8" activePane="bottomLeft" state="frozen"/>
      <selection pane="bottomLeft" activeCell="I14" sqref="I14"/>
    </sheetView>
  </sheetViews>
  <sheetFormatPr baseColWidth="10" defaultColWidth="9" defaultRowHeight="14.25"/>
  <cols>
    <col min="1" max="1" width="48" customWidth="1"/>
    <col min="2" max="2" width="24" customWidth="1"/>
    <col min="3" max="5" width="22" customWidth="1"/>
    <col min="6" max="6" width="24" customWidth="1"/>
  </cols>
  <sheetData>
    <row r="1" spans="1:12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.95" customHeight="1">
      <c r="A2" s="2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.95" customHeight="1">
      <c r="A3" s="1" t="s">
        <v>73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4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4.95" customHeight="1">
      <c r="A5" s="3" t="s">
        <v>74</v>
      </c>
      <c r="B5" s="3"/>
      <c r="C5" s="3"/>
      <c r="D5" s="3"/>
      <c r="E5" s="3"/>
      <c r="F5" s="3"/>
      <c r="G5" s="1"/>
      <c r="H5" s="1"/>
      <c r="I5" s="1"/>
      <c r="J5" s="1"/>
      <c r="K5" s="1"/>
      <c r="L5" s="1"/>
    </row>
    <row r="6" spans="1:12" ht="24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35.1" customHeight="1">
      <c r="A7" s="18" t="s">
        <v>75</v>
      </c>
      <c r="B7" s="18">
        <v>2022</v>
      </c>
      <c r="C7" s="18">
        <v>2023</v>
      </c>
      <c r="D7" s="18">
        <v>2024</v>
      </c>
      <c r="E7" s="18" t="s">
        <v>76</v>
      </c>
      <c r="F7" s="18" t="s">
        <v>77</v>
      </c>
      <c r="G7" s="1"/>
      <c r="H7" s="1"/>
      <c r="I7" s="1"/>
      <c r="J7" s="1"/>
      <c r="K7" s="1"/>
      <c r="L7" s="1"/>
    </row>
    <row r="8" spans="1:12" ht="24.95" customHeight="1">
      <c r="A8" s="1" t="s">
        <v>78</v>
      </c>
      <c r="B8" s="13"/>
      <c r="C8" s="13"/>
      <c r="D8" s="13"/>
      <c r="E8" s="7">
        <f>INDEX(Baremes!$C$13:$L$24,MATCH(Calculateur!$B$16,Baremes!$A$13:$A$24,0),1)</f>
        <v>290</v>
      </c>
      <c r="F8" s="7" t="str">
        <f t="shared" ref="F8:F17" si="0">IF(COUNT(B8:D8)&lt;&gt;3,"",SUM(B8:D8)*E8)</f>
        <v/>
      </c>
      <c r="G8" s="1"/>
      <c r="H8" s="1"/>
      <c r="I8" s="1"/>
      <c r="J8" s="1"/>
      <c r="K8" s="1"/>
      <c r="L8" s="1"/>
    </row>
    <row r="9" spans="1:12" ht="24.95" customHeight="1">
      <c r="A9" s="1" t="s">
        <v>79</v>
      </c>
      <c r="B9" s="13"/>
      <c r="C9" s="13"/>
      <c r="D9" s="13"/>
      <c r="E9" s="7">
        <f>INDEX(Baremes!$C$13:$L$24,MATCH(Calculateur!$B$16,Baremes!$A$13:$A$24,0),2)</f>
        <v>526</v>
      </c>
      <c r="F9" s="7" t="str">
        <f t="shared" si="0"/>
        <v/>
      </c>
      <c r="G9" s="1"/>
      <c r="H9" s="1"/>
      <c r="I9" s="1"/>
      <c r="J9" s="1"/>
      <c r="K9" s="1"/>
      <c r="L9" s="1"/>
    </row>
    <row r="10" spans="1:12" ht="24.95" customHeight="1">
      <c r="A10" s="1" t="s">
        <v>80</v>
      </c>
      <c r="B10" s="13"/>
      <c r="C10" s="13"/>
      <c r="D10" s="13"/>
      <c r="E10" s="7">
        <f>INDEX(Baremes!$C$13:$L$24,MATCH(Calculateur!$B$16,Baremes!$A$13:$A$24,0),3)</f>
        <v>1779</v>
      </c>
      <c r="F10" s="7" t="str">
        <f t="shared" si="0"/>
        <v/>
      </c>
      <c r="G10" s="1"/>
      <c r="H10" s="1"/>
      <c r="I10" s="1"/>
      <c r="J10" s="1"/>
      <c r="K10" s="1"/>
      <c r="L10" s="1"/>
    </row>
    <row r="11" spans="1:12" ht="24.95" customHeight="1">
      <c r="A11" s="1" t="s">
        <v>81</v>
      </c>
      <c r="B11" s="13"/>
      <c r="C11" s="13"/>
      <c r="D11" s="13"/>
      <c r="E11" s="7">
        <f>INDEX(Baremes!$C$13:$L$24,MATCH(Calculateur!$B$16,Baremes!$A$13:$A$24,0),4)</f>
        <v>4877</v>
      </c>
      <c r="F11" s="7" t="str">
        <f t="shared" si="0"/>
        <v/>
      </c>
      <c r="G11" s="1"/>
      <c r="H11" s="1"/>
      <c r="I11" s="1"/>
      <c r="J11" s="1"/>
      <c r="K11" s="1"/>
      <c r="L11" s="1"/>
    </row>
    <row r="12" spans="1:12" ht="24.95" customHeight="1">
      <c r="A12" s="1" t="s">
        <v>82</v>
      </c>
      <c r="B12" s="13"/>
      <c r="C12" s="13"/>
      <c r="D12" s="13"/>
      <c r="E12" s="7">
        <f>INDEX(Baremes!$C$13:$L$24,MATCH(Calculateur!$B$16,Baremes!$A$13:$A$24,0),5)</f>
        <v>9105</v>
      </c>
      <c r="F12" s="7" t="str">
        <f t="shared" si="0"/>
        <v/>
      </c>
      <c r="G12" s="1"/>
      <c r="H12" s="1"/>
      <c r="I12" s="1"/>
      <c r="J12" s="1"/>
      <c r="K12" s="1"/>
      <c r="L12" s="1"/>
    </row>
    <row r="13" spans="1:12" ht="24.95" customHeight="1">
      <c r="A13" s="1" t="s">
        <v>83</v>
      </c>
      <c r="B13" s="13"/>
      <c r="C13" s="13"/>
      <c r="D13" s="13"/>
      <c r="E13" s="7">
        <f>INDEX(Baremes!$C$13:$L$24,MATCH(Calculateur!$B$16,Baremes!$A$13:$A$24,0),6)</f>
        <v>40378</v>
      </c>
      <c r="F13" s="7" t="str">
        <f t="shared" si="0"/>
        <v/>
      </c>
      <c r="G13" s="1"/>
      <c r="H13" s="1"/>
      <c r="I13" s="1"/>
      <c r="J13" s="1"/>
      <c r="K13" s="1"/>
      <c r="L13" s="1"/>
    </row>
    <row r="14" spans="1:12" ht="24.95" customHeight="1">
      <c r="A14" s="1" t="s">
        <v>84</v>
      </c>
      <c r="B14" s="13"/>
      <c r="C14" s="13"/>
      <c r="D14" s="13"/>
      <c r="E14" s="7">
        <f>INDEX(Baremes!$C$13:$L$24,MATCH(Calculateur!$B$16,Baremes!$A$13:$A$24,0),7)</f>
        <v>2361</v>
      </c>
      <c r="F14" s="7" t="str">
        <f t="shared" si="0"/>
        <v/>
      </c>
      <c r="G14" s="1"/>
      <c r="H14" s="1"/>
      <c r="I14" s="1"/>
      <c r="J14" s="1"/>
      <c r="K14" s="1"/>
      <c r="L14" s="1"/>
    </row>
    <row r="15" spans="1:12" ht="24.95" customHeight="1">
      <c r="A15" s="1" t="s">
        <v>85</v>
      </c>
      <c r="B15" s="13"/>
      <c r="C15" s="13"/>
      <c r="D15" s="13"/>
      <c r="E15" s="7">
        <f>INDEX(Baremes!$C$13:$L$24,MATCH(Calculateur!$B$16,Baremes!$A$13:$A$24,0),8)</f>
        <v>69840</v>
      </c>
      <c r="F15" s="7" t="str">
        <f t="shared" si="0"/>
        <v/>
      </c>
      <c r="G15" s="1"/>
      <c r="H15" s="1"/>
      <c r="I15" s="1"/>
      <c r="J15" s="1"/>
      <c r="K15" s="1"/>
      <c r="L15" s="1"/>
    </row>
    <row r="16" spans="1:12" ht="24.95" customHeight="1">
      <c r="A16" s="1" t="s">
        <v>86</v>
      </c>
      <c r="B16" s="13"/>
      <c r="C16" s="13"/>
      <c r="D16" s="13"/>
      <c r="E16" s="7">
        <f>INDEX(Baremes!$C$13:$L$24,MATCH(Calculateur!$B$16,Baremes!$A$13:$A$24,0),9)</f>
        <v>139532</v>
      </c>
      <c r="F16" s="7" t="str">
        <f t="shared" si="0"/>
        <v/>
      </c>
      <c r="G16" s="1"/>
      <c r="H16" s="1"/>
      <c r="I16" s="1"/>
      <c r="J16" s="1"/>
      <c r="K16" s="1"/>
      <c r="L16" s="1"/>
    </row>
    <row r="17" spans="1:12" ht="24.95" customHeight="1">
      <c r="A17" s="1" t="s">
        <v>87</v>
      </c>
      <c r="B17" s="13"/>
      <c r="C17" s="13"/>
      <c r="D17" s="13"/>
      <c r="E17" s="7">
        <f>INDEX(Baremes!$C$13:$L$24,MATCH(Calculateur!$B$16,Baremes!$A$13:$A$24,0),10)</f>
        <v>673575</v>
      </c>
      <c r="F17" s="7" t="str">
        <f t="shared" si="0"/>
        <v/>
      </c>
      <c r="G17" s="1"/>
      <c r="H17" s="1"/>
      <c r="I17" s="1"/>
      <c r="J17" s="1"/>
      <c r="K17" s="1"/>
      <c r="L17" s="1"/>
    </row>
    <row r="18" spans="1:12" ht="24.95" customHeight="1">
      <c r="A18" s="1" t="s">
        <v>88</v>
      </c>
      <c r="B18" s="14">
        <v>0</v>
      </c>
      <c r="C18" s="14">
        <v>0</v>
      </c>
      <c r="D18" s="14">
        <v>0</v>
      </c>
      <c r="E18" s="7"/>
      <c r="F18" s="7">
        <f>IF(COUNT(B18:D18)&lt;&gt;3,"",SUM(B18:D18))</f>
        <v>0</v>
      </c>
      <c r="G18" s="1"/>
      <c r="H18" s="1"/>
      <c r="I18" s="1"/>
      <c r="J18" s="1"/>
      <c r="K18" s="1"/>
      <c r="L18" s="1"/>
    </row>
    <row r="19" spans="1:12" ht="24.95" customHeight="1">
      <c r="A19" s="12" t="s">
        <v>89</v>
      </c>
      <c r="B19" s="12"/>
      <c r="C19" s="12"/>
      <c r="D19" s="12"/>
      <c r="E19" s="15"/>
      <c r="F19" s="15" t="str">
        <f>IF(OR(COUNT(B8:D17)&lt;&gt;30,COUNT(B18:D18)&lt;&gt;3,SUM(F8:F18)&lt;0,MIN(B8:D17)&lt;0),"",SUM(F8:F18))</f>
        <v/>
      </c>
      <c r="G19" s="1"/>
      <c r="H19" s="1"/>
      <c r="I19" s="1"/>
      <c r="J19" s="1"/>
      <c r="K19" s="1"/>
      <c r="L19" s="1"/>
    </row>
    <row r="20" spans="1:12" ht="24.9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4.95" customHeight="1">
      <c r="A21" s="3" t="s">
        <v>90</v>
      </c>
      <c r="B21" s="3"/>
      <c r="C21" s="3"/>
      <c r="D21" s="3"/>
      <c r="E21" s="3"/>
      <c r="F21" s="3"/>
      <c r="G21" s="1"/>
      <c r="H21" s="1"/>
      <c r="I21" s="1"/>
      <c r="J21" s="1"/>
      <c r="K21" s="1"/>
      <c r="L21" s="1"/>
    </row>
    <row r="22" spans="1:12" ht="24.95" customHeight="1">
      <c r="A22" s="19" t="s">
        <v>91</v>
      </c>
      <c r="B22" s="19">
        <v>2022</v>
      </c>
      <c r="C22" s="19">
        <v>2023</v>
      </c>
      <c r="D22" s="19">
        <v>2024</v>
      </c>
      <c r="E22" s="19" t="s">
        <v>92</v>
      </c>
      <c r="F22" s="1"/>
      <c r="G22" s="1"/>
      <c r="H22" s="1"/>
      <c r="I22" s="1"/>
      <c r="J22" s="1"/>
      <c r="K22" s="1"/>
      <c r="L22" s="1"/>
    </row>
    <row r="23" spans="1:12" ht="24.95" customHeight="1">
      <c r="A23" s="1" t="s">
        <v>93</v>
      </c>
      <c r="B23" s="14"/>
      <c r="C23" s="14"/>
      <c r="D23" s="14"/>
      <c r="E23" s="7" t="str">
        <f>IF(OR(COUNT(B23:D23)&lt;&gt;3,MIN(B23:D23)&lt;0,SUM(B23:D23)&lt;=0),"",SUM(B23:D23))</f>
        <v/>
      </c>
      <c r="F23" s="1"/>
      <c r="G23" s="1"/>
      <c r="H23" s="1"/>
      <c r="I23" s="1"/>
      <c r="J23" s="1"/>
      <c r="K23" s="1"/>
      <c r="L23" s="1"/>
    </row>
    <row r="24" spans="1:12" ht="24.9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24.95" customHeight="1">
      <c r="A25" s="1" t="s">
        <v>94</v>
      </c>
      <c r="B25" s="14"/>
      <c r="C25" s="14"/>
      <c r="D25" s="14"/>
      <c r="E25" s="7" t="str">
        <f>IF(OR(COUNT(B25:D25)&lt;&gt;3,MIN(B25:D25)&lt;0),"",SUM(B25:D25))</f>
        <v/>
      </c>
      <c r="F25" s="1"/>
      <c r="G25" s="1"/>
      <c r="H25" s="1"/>
      <c r="I25" s="1"/>
      <c r="J25" s="1"/>
      <c r="K25" s="1"/>
      <c r="L25" s="1"/>
    </row>
    <row r="26" spans="1:12" ht="24.95" customHeight="1">
      <c r="A26" s="1" t="s">
        <v>95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24.9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4.95" customHeight="1">
      <c r="A28" s="3" t="s">
        <v>96</v>
      </c>
      <c r="B28" s="3"/>
      <c r="C28" s="3"/>
      <c r="D28" s="3"/>
      <c r="E28" s="3"/>
      <c r="F28" s="3"/>
      <c r="G28" s="1"/>
      <c r="H28" s="1"/>
      <c r="I28" s="1"/>
      <c r="J28" s="1"/>
      <c r="K28" s="1"/>
      <c r="L28" s="1"/>
    </row>
    <row r="29" spans="1:12" ht="24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4.95" customHeight="1">
      <c r="A30" s="1" t="s">
        <v>97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24.95" customHeight="1">
      <c r="A31" s="1" t="s">
        <v>98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4.95" customHeight="1">
      <c r="A32" s="1" t="s">
        <v>99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4.95" customHeight="1">
      <c r="A33" s="1" t="s">
        <v>100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4.95" customHeight="1">
      <c r="A34" s="1" t="s">
        <v>101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4.95" customHeight="1">
      <c r="A35" s="1" t="s">
        <v>102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24.95" customHeight="1">
      <c r="A36" s="1" t="s">
        <v>103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4.95" customHeight="1">
      <c r="A37" s="1" t="s">
        <v>104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4.95" customHeight="1">
      <c r="A38" s="1" t="s">
        <v>105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24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4.95" customHeight="1">
      <c r="A40" s="1" t="s">
        <v>106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4.95" customHeight="1">
      <c r="A41" s="1"/>
      <c r="B41" s="9"/>
      <c r="C41" s="9"/>
      <c r="D41" s="9"/>
      <c r="E41" s="9"/>
      <c r="F41" s="9"/>
      <c r="G41" s="1"/>
      <c r="H41" s="1"/>
      <c r="I41" s="1"/>
      <c r="J41" s="1"/>
      <c r="K41" s="1"/>
      <c r="L41" s="1"/>
    </row>
    <row r="42" spans="1:12" ht="24.95" customHeight="1">
      <c r="A42" s="1"/>
      <c r="B42" s="9"/>
      <c r="C42" s="9"/>
      <c r="D42" s="9"/>
      <c r="E42" s="9"/>
      <c r="F42" s="9"/>
      <c r="G42" s="1"/>
      <c r="H42" s="1"/>
      <c r="I42" s="1"/>
      <c r="J42" s="1"/>
      <c r="K42" s="1"/>
      <c r="L42" s="1"/>
    </row>
    <row r="43" spans="1:12" ht="24.95" customHeight="1">
      <c r="A43" s="1"/>
      <c r="B43" s="9"/>
      <c r="C43" s="9"/>
      <c r="D43" s="9"/>
      <c r="E43" s="9"/>
      <c r="F43" s="9"/>
      <c r="G43" s="1"/>
      <c r="H43" s="1"/>
      <c r="I43" s="1"/>
      <c r="J43" s="1"/>
      <c r="K43" s="1"/>
      <c r="L43" s="1"/>
    </row>
    <row r="44" spans="1:12" ht="24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24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24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24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24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24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24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24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24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4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4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24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4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4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4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24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4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24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24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24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24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24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24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24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</sheetData>
  <dataValidations count="2">
    <dataValidation type="whole" sqref="B8:D17" xr:uid="{00000000-0002-0000-0100-000000000000}">
      <formula1>0</formula1>
      <formula2>10000000</formula2>
    </dataValidation>
    <dataValidation type="decimal" sqref="B23:D23 B25:D25" xr:uid="{00000000-0002-0000-0100-000001000000}">
      <formula1>0</formula1>
      <formula2>1000000000000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0"/>
  <sheetViews>
    <sheetView showGridLines="0" tabSelected="1" workbookViewId="0">
      <pane ySplit="12" topLeftCell="A17" activePane="bottomLeft" state="frozen"/>
      <selection pane="bottomLeft" activeCell="J7" sqref="J7"/>
    </sheetView>
  </sheetViews>
  <sheetFormatPr baseColWidth="10" defaultColWidth="9" defaultRowHeight="14.25"/>
  <cols>
    <col min="1" max="1" width="24" customWidth="1"/>
    <col min="2" max="2" width="31" customWidth="1"/>
    <col min="3" max="12" width="14" customWidth="1"/>
  </cols>
  <sheetData>
    <row r="1" spans="1:12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.95" customHeight="1">
      <c r="A2" s="2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.95" customHeight="1">
      <c r="A3" s="1" t="s">
        <v>108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4.95" customHeight="1">
      <c r="A4" s="3" t="s">
        <v>109</v>
      </c>
      <c r="B4" s="3"/>
      <c r="C4" s="3"/>
      <c r="D4" s="3"/>
      <c r="E4" s="1"/>
      <c r="F4" s="1"/>
      <c r="G4" s="1"/>
      <c r="H4" s="1"/>
      <c r="I4" s="1"/>
      <c r="J4" s="1"/>
      <c r="K4" s="1"/>
      <c r="L4" s="1"/>
    </row>
    <row r="5" spans="1:12" ht="24.95" customHeight="1">
      <c r="A5" s="1" t="s">
        <v>110</v>
      </c>
      <c r="B5" s="6">
        <v>1.9E-3</v>
      </c>
      <c r="C5" s="1" t="s">
        <v>111</v>
      </c>
      <c r="D5" s="1"/>
      <c r="E5" s="1"/>
      <c r="F5" s="1"/>
      <c r="G5" s="1"/>
      <c r="H5" s="1"/>
      <c r="I5" s="1"/>
      <c r="J5" s="1"/>
      <c r="K5" s="1"/>
      <c r="L5" s="1"/>
    </row>
    <row r="6" spans="1:12" ht="24.95" customHeight="1">
      <c r="A6" s="1" t="s">
        <v>112</v>
      </c>
      <c r="B6" s="6">
        <v>0.52</v>
      </c>
      <c r="C6" s="1" t="s">
        <v>113</v>
      </c>
      <c r="D6" s="1"/>
      <c r="E6" s="1"/>
      <c r="F6" s="1"/>
      <c r="G6" s="1"/>
      <c r="H6" s="1"/>
      <c r="I6" s="1"/>
      <c r="J6" s="1"/>
      <c r="K6" s="1"/>
      <c r="L6" s="1"/>
    </row>
    <row r="7" spans="1:12" ht="24.95" customHeight="1">
      <c r="A7" s="1" t="s">
        <v>114</v>
      </c>
      <c r="B7" s="6">
        <v>1.6999999999999999E-3</v>
      </c>
      <c r="C7" s="1" t="s">
        <v>115</v>
      </c>
      <c r="D7" s="1"/>
      <c r="E7" s="1"/>
      <c r="F7" s="1"/>
      <c r="G7" s="1"/>
      <c r="H7" s="1"/>
      <c r="I7" s="1"/>
      <c r="J7" s="1"/>
      <c r="K7" s="1"/>
      <c r="L7" s="1"/>
    </row>
    <row r="8" spans="1:12" ht="24.95" customHeight="1">
      <c r="A8" s="1" t="s">
        <v>116</v>
      </c>
      <c r="B8" s="6">
        <v>2.9999999999999997E-4</v>
      </c>
      <c r="C8" s="1" t="s">
        <v>117</v>
      </c>
      <c r="D8" s="1"/>
      <c r="E8" s="1"/>
      <c r="F8" s="1"/>
      <c r="G8" s="1"/>
      <c r="H8" s="1"/>
      <c r="I8" s="1"/>
      <c r="J8" s="1"/>
      <c r="K8" s="1"/>
      <c r="L8" s="1"/>
    </row>
    <row r="9" spans="1:12" ht="24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4.95" customHeight="1">
      <c r="A10" s="1" t="s">
        <v>118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4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4.95" customHeight="1">
      <c r="A12" s="20" t="s">
        <v>119</v>
      </c>
      <c r="B12" s="20" t="s">
        <v>120</v>
      </c>
      <c r="C12" s="20" t="s">
        <v>121</v>
      </c>
      <c r="D12" s="20" t="s">
        <v>122</v>
      </c>
      <c r="E12" s="20" t="s">
        <v>123</v>
      </c>
      <c r="F12" s="20" t="s">
        <v>124</v>
      </c>
      <c r="G12" s="20" t="s">
        <v>125</v>
      </c>
      <c r="H12" s="20" t="s">
        <v>126</v>
      </c>
      <c r="I12" s="20" t="s">
        <v>127</v>
      </c>
      <c r="J12" s="20" t="s">
        <v>128</v>
      </c>
      <c r="K12" s="20" t="s">
        <v>129</v>
      </c>
      <c r="L12" s="20" t="s">
        <v>130</v>
      </c>
    </row>
    <row r="13" spans="1:12" ht="24.95" customHeight="1">
      <c r="A13" s="1" t="s">
        <v>18</v>
      </c>
      <c r="B13" s="1" t="s">
        <v>131</v>
      </c>
      <c r="C13" s="16">
        <v>290</v>
      </c>
      <c r="D13" s="16">
        <v>526</v>
      </c>
      <c r="E13" s="16">
        <v>1779</v>
      </c>
      <c r="F13" s="16">
        <v>4877</v>
      </c>
      <c r="G13" s="16">
        <v>9105</v>
      </c>
      <c r="H13" s="16">
        <v>40378</v>
      </c>
      <c r="I13" s="16">
        <v>2361</v>
      </c>
      <c r="J13" s="16">
        <v>69840</v>
      </c>
      <c r="K13" s="16">
        <v>139532</v>
      </c>
      <c r="L13" s="16">
        <v>673575</v>
      </c>
    </row>
    <row r="14" spans="1:12" ht="24.95" customHeight="1">
      <c r="A14" s="1" t="s">
        <v>132</v>
      </c>
      <c r="B14" s="1" t="s">
        <v>133</v>
      </c>
      <c r="C14" s="16">
        <v>330</v>
      </c>
      <c r="D14" s="16">
        <v>506</v>
      </c>
      <c r="E14" s="16">
        <v>1677</v>
      </c>
      <c r="F14" s="16">
        <v>4432</v>
      </c>
      <c r="G14" s="16">
        <v>8591</v>
      </c>
      <c r="H14" s="16">
        <v>40973</v>
      </c>
      <c r="I14" s="16">
        <v>2431</v>
      </c>
      <c r="J14" s="16">
        <v>165269</v>
      </c>
      <c r="K14" s="16">
        <v>165269</v>
      </c>
      <c r="L14" s="16">
        <v>165269</v>
      </c>
    </row>
    <row r="15" spans="1:12" ht="24.95" customHeight="1">
      <c r="A15" s="1" t="s">
        <v>134</v>
      </c>
      <c r="B15" s="1" t="s">
        <v>135</v>
      </c>
      <c r="C15" s="16">
        <v>330</v>
      </c>
      <c r="D15" s="16">
        <v>506</v>
      </c>
      <c r="E15" s="16">
        <v>1677</v>
      </c>
      <c r="F15" s="16">
        <v>4432</v>
      </c>
      <c r="G15" s="16">
        <v>8591</v>
      </c>
      <c r="H15" s="16">
        <v>40973</v>
      </c>
      <c r="I15" s="16">
        <v>2431</v>
      </c>
      <c r="J15" s="16">
        <v>174495</v>
      </c>
      <c r="K15" s="16">
        <v>174495</v>
      </c>
      <c r="L15" s="16">
        <v>174495</v>
      </c>
    </row>
    <row r="16" spans="1:12" ht="24.95" customHeight="1">
      <c r="A16" s="1" t="s">
        <v>136</v>
      </c>
      <c r="B16" s="1" t="s">
        <v>137</v>
      </c>
      <c r="C16" s="16">
        <v>330</v>
      </c>
      <c r="D16" s="16">
        <v>506</v>
      </c>
      <c r="E16" s="16">
        <v>1677</v>
      </c>
      <c r="F16" s="16">
        <v>4432</v>
      </c>
      <c r="G16" s="16">
        <v>8591</v>
      </c>
      <c r="H16" s="16">
        <v>40973</v>
      </c>
      <c r="I16" s="16">
        <v>2431</v>
      </c>
      <c r="J16" s="16">
        <v>240442</v>
      </c>
      <c r="K16" s="16">
        <v>240442</v>
      </c>
      <c r="L16" s="16">
        <v>240442</v>
      </c>
    </row>
    <row r="17" spans="1:12" ht="24.95" customHeight="1">
      <c r="A17" s="1" t="s">
        <v>138</v>
      </c>
      <c r="B17" s="1" t="s">
        <v>139</v>
      </c>
      <c r="C17" s="16">
        <v>330</v>
      </c>
      <c r="D17" s="16">
        <v>506</v>
      </c>
      <c r="E17" s="16">
        <v>1677</v>
      </c>
      <c r="F17" s="16">
        <v>4432</v>
      </c>
      <c r="G17" s="16">
        <v>8591</v>
      </c>
      <c r="H17" s="16">
        <v>40973</v>
      </c>
      <c r="I17" s="16">
        <v>2431</v>
      </c>
      <c r="J17" s="16">
        <v>66946</v>
      </c>
      <c r="K17" s="16">
        <v>129246</v>
      </c>
      <c r="L17" s="16">
        <v>562950</v>
      </c>
    </row>
    <row r="18" spans="1:12" ht="24.95" customHeight="1">
      <c r="A18" s="1" t="s">
        <v>140</v>
      </c>
      <c r="B18" s="1" t="s">
        <v>141</v>
      </c>
      <c r="C18" s="16">
        <v>238</v>
      </c>
      <c r="D18" s="16">
        <v>560</v>
      </c>
      <c r="E18" s="16">
        <v>1804</v>
      </c>
      <c r="F18" s="16">
        <v>4703</v>
      </c>
      <c r="G18" s="16">
        <v>8937</v>
      </c>
      <c r="H18" s="16">
        <v>37636</v>
      </c>
      <c r="I18" s="16">
        <v>2355</v>
      </c>
      <c r="J18" s="16">
        <v>68447</v>
      </c>
      <c r="K18" s="16">
        <v>133610</v>
      </c>
      <c r="L18" s="16">
        <v>588090</v>
      </c>
    </row>
    <row r="19" spans="1:12" ht="24.95" customHeight="1">
      <c r="A19" s="1" t="s">
        <v>142</v>
      </c>
      <c r="B19" s="1" t="s">
        <v>143</v>
      </c>
      <c r="C19" s="16">
        <v>314</v>
      </c>
      <c r="D19" s="16">
        <v>458</v>
      </c>
      <c r="E19" s="16">
        <v>1482</v>
      </c>
      <c r="F19" s="16">
        <v>4001</v>
      </c>
      <c r="G19" s="16">
        <v>7519</v>
      </c>
      <c r="H19" s="16">
        <v>33685</v>
      </c>
      <c r="I19" s="16">
        <v>2358</v>
      </c>
      <c r="J19" s="16">
        <v>59113</v>
      </c>
      <c r="K19" s="16">
        <v>112996</v>
      </c>
      <c r="L19" s="16">
        <v>475589</v>
      </c>
    </row>
    <row r="20" spans="1:12" ht="24.95" customHeight="1">
      <c r="A20" s="1" t="s">
        <v>144</v>
      </c>
      <c r="B20" s="1" t="s">
        <v>145</v>
      </c>
      <c r="C20" s="16">
        <v>349</v>
      </c>
      <c r="D20" s="16">
        <v>539</v>
      </c>
      <c r="E20" s="16">
        <v>1804</v>
      </c>
      <c r="F20" s="16">
        <v>4905</v>
      </c>
      <c r="G20" s="16">
        <v>9080</v>
      </c>
      <c r="H20" s="16">
        <v>39633</v>
      </c>
      <c r="I20" s="16">
        <v>2406</v>
      </c>
      <c r="J20" s="16">
        <v>69510</v>
      </c>
      <c r="K20" s="16">
        <v>139099</v>
      </c>
      <c r="L20" s="16">
        <v>724481</v>
      </c>
    </row>
    <row r="21" spans="1:12" ht="24.95" customHeight="1">
      <c r="A21" s="1" t="s">
        <v>146</v>
      </c>
      <c r="B21" s="1" t="s">
        <v>147</v>
      </c>
      <c r="C21" s="16">
        <v>333</v>
      </c>
      <c r="D21" s="16">
        <v>513</v>
      </c>
      <c r="E21" s="16">
        <v>1685</v>
      </c>
      <c r="F21" s="16">
        <v>4375</v>
      </c>
      <c r="G21" s="16">
        <v>8282</v>
      </c>
      <c r="H21" s="16">
        <v>37387</v>
      </c>
      <c r="I21" s="16">
        <v>2433</v>
      </c>
      <c r="J21" s="16">
        <v>65522</v>
      </c>
      <c r="K21" s="16">
        <v>127970</v>
      </c>
      <c r="L21" s="16">
        <v>635519</v>
      </c>
    </row>
    <row r="22" spans="1:12" ht="24.95" customHeight="1">
      <c r="A22" s="1" t="s">
        <v>148</v>
      </c>
      <c r="B22" s="1" t="s">
        <v>149</v>
      </c>
      <c r="C22" s="16">
        <v>252</v>
      </c>
      <c r="D22" s="16">
        <v>502</v>
      </c>
      <c r="E22" s="16">
        <v>1622</v>
      </c>
      <c r="F22" s="16">
        <v>4370</v>
      </c>
      <c r="G22" s="16">
        <v>8131</v>
      </c>
      <c r="H22" s="16">
        <v>36267</v>
      </c>
      <c r="I22" s="16">
        <v>2381</v>
      </c>
      <c r="J22" s="16">
        <v>65060</v>
      </c>
      <c r="K22" s="16">
        <v>131271</v>
      </c>
      <c r="L22" s="16">
        <v>577419</v>
      </c>
    </row>
    <row r="23" spans="1:12" ht="24.95" customHeight="1">
      <c r="A23" s="1" t="s">
        <v>150</v>
      </c>
      <c r="B23" s="1" t="s">
        <v>151</v>
      </c>
      <c r="C23" s="16">
        <v>189</v>
      </c>
      <c r="D23" s="16">
        <v>448</v>
      </c>
      <c r="E23" s="16">
        <v>1445</v>
      </c>
      <c r="F23" s="16">
        <v>4060</v>
      </c>
      <c r="G23" s="16">
        <v>7770</v>
      </c>
      <c r="H23" s="16">
        <v>38136</v>
      </c>
      <c r="I23" s="16">
        <v>2336</v>
      </c>
      <c r="J23" s="16">
        <v>66675</v>
      </c>
      <c r="K23" s="16">
        <v>143520</v>
      </c>
      <c r="L23" s="16">
        <v>603245</v>
      </c>
    </row>
    <row r="24" spans="1:12" ht="24.95" customHeight="1">
      <c r="A24" s="1" t="s">
        <v>152</v>
      </c>
      <c r="B24" s="1" t="s">
        <v>153</v>
      </c>
      <c r="C24" s="16">
        <v>177</v>
      </c>
      <c r="D24" s="16">
        <v>393</v>
      </c>
      <c r="E24" s="16">
        <v>1284</v>
      </c>
      <c r="F24" s="16">
        <v>3476</v>
      </c>
      <c r="G24" s="16">
        <v>6549</v>
      </c>
      <c r="H24" s="16">
        <v>31915</v>
      </c>
      <c r="I24" s="16">
        <v>2345</v>
      </c>
      <c r="J24" s="16">
        <v>56030</v>
      </c>
      <c r="K24" s="16">
        <v>110892</v>
      </c>
      <c r="L24" s="16">
        <v>491135</v>
      </c>
    </row>
    <row r="25" spans="1:12" ht="24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4.9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24.95" customHeight="1">
      <c r="A27" s="3" t="s">
        <v>154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24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4.95" customHeight="1">
      <c r="A29" s="1" t="s">
        <v>155</v>
      </c>
      <c r="B29" s="1"/>
      <c r="C29" s="1" t="s">
        <v>156</v>
      </c>
      <c r="D29" s="1"/>
      <c r="E29" s="1"/>
      <c r="F29" s="1"/>
      <c r="G29" s="1"/>
      <c r="H29" s="1"/>
      <c r="I29" s="1"/>
      <c r="J29" s="1"/>
      <c r="K29" s="1"/>
      <c r="L29" s="1"/>
    </row>
    <row r="30" spans="1:12" ht="24.95" customHeight="1">
      <c r="A30" s="1" t="s">
        <v>157</v>
      </c>
      <c r="B30" s="1"/>
      <c r="C30" s="1" t="s">
        <v>158</v>
      </c>
      <c r="D30" s="1"/>
      <c r="E30" s="1"/>
      <c r="F30" s="1"/>
      <c r="G30" s="1"/>
      <c r="H30" s="1"/>
      <c r="I30" s="1"/>
      <c r="J30" s="1"/>
      <c r="K30" s="1"/>
      <c r="L30" s="1"/>
    </row>
    <row r="31" spans="1:12" ht="24.95" customHeight="1">
      <c r="A31" s="1" t="s">
        <v>159</v>
      </c>
      <c r="B31" s="1"/>
      <c r="C31" s="1" t="s">
        <v>160</v>
      </c>
      <c r="D31" s="1"/>
      <c r="E31" s="1"/>
      <c r="F31" s="1"/>
      <c r="G31" s="1"/>
      <c r="H31" s="1"/>
      <c r="I31" s="1"/>
      <c r="J31" s="1"/>
      <c r="K31" s="1"/>
      <c r="L31" s="1"/>
    </row>
    <row r="32" spans="1:12" ht="24.95" customHeight="1">
      <c r="A32" s="1" t="s">
        <v>161</v>
      </c>
      <c r="B32" s="1"/>
      <c r="C32" s="1" t="s">
        <v>162</v>
      </c>
      <c r="D32" s="1"/>
      <c r="E32" s="1"/>
      <c r="F32" s="1"/>
      <c r="G32" s="1"/>
      <c r="H32" s="1"/>
      <c r="I32" s="1"/>
      <c r="J32" s="1"/>
      <c r="K32" s="1"/>
      <c r="L32" s="1"/>
    </row>
    <row r="33" spans="1:12" ht="24.95" customHeight="1">
      <c r="A33" s="1" t="s">
        <v>163</v>
      </c>
      <c r="B33" s="1"/>
      <c r="C33" s="1" t="s">
        <v>164</v>
      </c>
      <c r="D33" s="1"/>
      <c r="E33" s="1"/>
      <c r="F33" s="1"/>
      <c r="G33" s="1"/>
      <c r="H33" s="1"/>
      <c r="I33" s="1"/>
      <c r="J33" s="1"/>
      <c r="K33" s="1"/>
      <c r="L33" s="1"/>
    </row>
    <row r="34" spans="1:12" ht="24.95" customHeight="1">
      <c r="A34" s="1" t="s">
        <v>165</v>
      </c>
      <c r="B34" s="1"/>
      <c r="C34" s="1" t="s">
        <v>166</v>
      </c>
      <c r="D34" s="1"/>
      <c r="E34" s="1"/>
      <c r="F34" s="1"/>
      <c r="G34" s="1"/>
      <c r="H34" s="1"/>
      <c r="I34" s="1"/>
      <c r="J34" s="1"/>
      <c r="K34" s="1"/>
      <c r="L34" s="1"/>
    </row>
    <row r="35" spans="1:12" ht="24.95" customHeight="1">
      <c r="A35" s="1" t="s">
        <v>167</v>
      </c>
      <c r="B35" s="1"/>
      <c r="C35" s="1" t="s">
        <v>168</v>
      </c>
      <c r="D35" s="1"/>
      <c r="E35" s="1"/>
      <c r="F35" s="1"/>
      <c r="G35" s="1"/>
      <c r="H35" s="1"/>
      <c r="I35" s="1"/>
      <c r="J35" s="1"/>
      <c r="K35" s="1"/>
      <c r="L35" s="1"/>
    </row>
    <row r="36" spans="1:12" ht="24.95" customHeight="1">
      <c r="A36" s="1" t="s">
        <v>169</v>
      </c>
      <c r="B36" s="1"/>
      <c r="C36" s="1" t="s">
        <v>170</v>
      </c>
      <c r="D36" s="1"/>
      <c r="E36" s="1"/>
      <c r="F36" s="1"/>
      <c r="G36" s="1"/>
      <c r="H36" s="1"/>
      <c r="I36" s="1"/>
      <c r="J36" s="1"/>
      <c r="K36" s="1"/>
      <c r="L36" s="1"/>
    </row>
    <row r="37" spans="1:12" ht="24.95" customHeight="1">
      <c r="A37" s="1" t="s">
        <v>171</v>
      </c>
      <c r="B37" s="1"/>
      <c r="C37" s="1" t="s">
        <v>172</v>
      </c>
      <c r="D37" s="1"/>
      <c r="E37" s="1"/>
      <c r="F37" s="1"/>
      <c r="G37" s="1"/>
      <c r="H37" s="1"/>
      <c r="I37" s="1"/>
      <c r="J37" s="1"/>
      <c r="K37" s="1"/>
      <c r="L37" s="1"/>
    </row>
    <row r="38" spans="1:12" ht="24.95" customHeight="1">
      <c r="A38" s="1" t="s">
        <v>173</v>
      </c>
      <c r="B38" s="1"/>
      <c r="C38" s="1" t="s">
        <v>174</v>
      </c>
      <c r="D38" s="1"/>
      <c r="E38" s="1"/>
      <c r="F38" s="1"/>
      <c r="G38" s="1"/>
      <c r="H38" s="1"/>
      <c r="I38" s="1"/>
      <c r="J38" s="1"/>
      <c r="K38" s="1"/>
      <c r="L38" s="1"/>
    </row>
    <row r="39" spans="1:12" ht="24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4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4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24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24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24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24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24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24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24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24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24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4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4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24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4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4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4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24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4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24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24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24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24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24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24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24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0"/>
  <sheetViews>
    <sheetView showGridLines="0" topLeftCell="A19" workbookViewId="0">
      <selection activeCell="C10" sqref="C10"/>
    </sheetView>
  </sheetViews>
  <sheetFormatPr baseColWidth="10" defaultColWidth="9" defaultRowHeight="14.25"/>
  <cols>
    <col min="1" max="1" width="48" customWidth="1"/>
    <col min="2" max="2" width="105" customWidth="1"/>
    <col min="3" max="5" width="22" customWidth="1"/>
    <col min="6" max="6" width="24" customWidth="1"/>
  </cols>
  <sheetData>
    <row r="1" spans="1:12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.95" customHeight="1">
      <c r="A2" s="2" t="s">
        <v>175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4.95" customHeight="1">
      <c r="A4" s="3" t="s">
        <v>176</v>
      </c>
      <c r="B4" s="3"/>
      <c r="C4" s="3"/>
      <c r="D4" s="3"/>
      <c r="E4" s="3"/>
      <c r="F4" s="3"/>
      <c r="G4" s="1"/>
      <c r="H4" s="1"/>
      <c r="I4" s="1"/>
      <c r="J4" s="1"/>
      <c r="K4" s="1"/>
      <c r="L4" s="1"/>
    </row>
    <row r="5" spans="1:12" ht="24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57.95" customHeight="1">
      <c r="A6" s="1" t="s">
        <v>177</v>
      </c>
      <c r="B6" s="17" t="s">
        <v>178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4.9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57.95" customHeight="1">
      <c r="A8" s="1" t="s">
        <v>179</v>
      </c>
      <c r="B8" s="17" t="s">
        <v>180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4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57.95" customHeight="1">
      <c r="A10" s="1" t="s">
        <v>181</v>
      </c>
      <c r="B10" s="17" t="s">
        <v>182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4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57.95" customHeight="1">
      <c r="A12" s="1" t="s">
        <v>183</v>
      </c>
      <c r="B12" s="17" t="s">
        <v>184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4.9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57.95" customHeight="1">
      <c r="A14" s="1" t="s">
        <v>185</v>
      </c>
      <c r="B14" s="17" t="s">
        <v>186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4.9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57.95" customHeight="1">
      <c r="A16" s="1" t="s">
        <v>187</v>
      </c>
      <c r="B16" s="17" t="s">
        <v>188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4.9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57.95" customHeight="1">
      <c r="A18" s="1" t="s">
        <v>189</v>
      </c>
      <c r="B18" s="17" t="s">
        <v>190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4.9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4.9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4.95" customHeight="1">
      <c r="A21" s="3" t="s">
        <v>191</v>
      </c>
      <c r="B21" s="3"/>
      <c r="C21" s="3"/>
      <c r="D21" s="3"/>
      <c r="E21" s="3"/>
      <c r="F21" s="3"/>
      <c r="G21" s="1"/>
      <c r="H21" s="1"/>
      <c r="I21" s="1"/>
      <c r="J21" s="1"/>
      <c r="K21" s="1"/>
      <c r="L21" s="1"/>
    </row>
    <row r="22" spans="1:12" ht="24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54.95" customHeight="1">
      <c r="A23" s="1" t="s">
        <v>192</v>
      </c>
      <c r="B23" s="17" t="s">
        <v>193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24.9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54.95" customHeight="1">
      <c r="A25" s="1" t="s">
        <v>194</v>
      </c>
      <c r="B25" s="17" t="s">
        <v>195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4.9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54.95" customHeight="1">
      <c r="A27" s="1" t="s">
        <v>54</v>
      </c>
      <c r="B27" s="17" t="s">
        <v>196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4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54.95" customHeight="1">
      <c r="A29" s="1" t="s">
        <v>54</v>
      </c>
      <c r="B29" s="17" t="s">
        <v>197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4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54.95" customHeight="1">
      <c r="A31" s="1" t="s">
        <v>54</v>
      </c>
      <c r="B31" s="17" t="s">
        <v>198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4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54.95" customHeight="1">
      <c r="A33" s="1" t="s">
        <v>199</v>
      </c>
      <c r="B33" s="17" t="s">
        <v>200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4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54.95" customHeight="1">
      <c r="A35" s="1" t="s">
        <v>201</v>
      </c>
      <c r="B35" s="17" t="s">
        <v>202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24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54.95" customHeight="1">
      <c r="A37" s="1" t="s">
        <v>203</v>
      </c>
      <c r="B37" s="17" t="s">
        <v>204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4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54.95" customHeight="1">
      <c r="A39" s="1" t="s">
        <v>205</v>
      </c>
      <c r="B39" s="17" t="s">
        <v>206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4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54.95" customHeight="1">
      <c r="A41" s="1" t="s">
        <v>207</v>
      </c>
      <c r="B41" s="17" t="s">
        <v>208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54.95" customHeight="1">
      <c r="A43" s="1" t="s">
        <v>209</v>
      </c>
      <c r="B43" s="17" t="s">
        <v>210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54.95" customHeight="1">
      <c r="A45" s="1" t="s">
        <v>211</v>
      </c>
      <c r="B45" s="17" t="s">
        <v>212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24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24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24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24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24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24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24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4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4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24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4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4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4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24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4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24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24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24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24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24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24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24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Calculateur</vt:lpstr>
      <vt:lpstr>Sinistralite</vt:lpstr>
      <vt:lpstr>Baremes</vt:lpstr>
      <vt:lpstr>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lio ju</cp:lastModifiedBy>
  <dcterms:modified xsi:type="dcterms:W3CDTF">2026-10-02T08:01:26Z</dcterms:modified>
</cp:coreProperties>
</file>