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io-1\Downloads\"/>
    </mc:Choice>
  </mc:AlternateContent>
  <xr:revisionPtr revIDLastSave="0" documentId="8_{7DA25BA1-74E1-4FF6-B650-8D094B72808F}" xr6:coauthVersionLast="47" xr6:coauthVersionMax="47" xr10:uidLastSave="{00000000-0000-0000-0000-000000000000}"/>
  <bookViews>
    <workbookView xWindow="-120" yWindow="-120" windowWidth="29040" windowHeight="15720" xr2:uid="{00000000-000D-0000-FFFF-FFFF00000000}"/>
  </bookViews>
  <sheets>
    <sheet name="Page de garde" sheetId="1" r:id="rId1"/>
    <sheet name="Index" sheetId="2" r:id="rId2"/>
    <sheet name="0" sheetId="3" r:id="rId3"/>
    <sheet name="UT1" sheetId="4" r:id="rId4"/>
    <sheet name="UT2" sheetId="5" r:id="rId5"/>
    <sheet name="Pénibilité" sheetId="6" r:id="rId6"/>
    <sheet name="PAPRIPACT" sheetId="7" r:id="rId7"/>
    <sheet name="Statistiques DUERP" sheetId="8" r:id="rId8"/>
    <sheet name="Mode d'emploi" sheetId="9" r:id="rId9"/>
    <sheet name="Bilan annuel" sheetId="10" r:id="rId10"/>
    <sheet name="Présentation CSE" sheetId="11" r:id="rId11"/>
    <sheet name="Références" sheetId="12" r:id="rId12"/>
    <sheet name="Listes" sheetId="13" r:id="rId13"/>
  </sheets>
  <definedNames>
    <definedName name="_xlnm._FilterDatabase" localSheetId="6" hidden="1">PAPRIPACT!$A$5:$AH$221</definedName>
    <definedName name="CartoucheDate">#REF!</definedName>
    <definedName name="CartoucheMO">#REF!</definedName>
    <definedName name="CartoucheMOE">#REF!</definedName>
    <definedName name="CartoucheNom">#REF!</definedName>
    <definedName name="CartoucheRedac">#REF!</definedName>
    <definedName name="GCsortie">#REF!</definedName>
    <definedName name="Noms">#REF!</definedName>
    <definedName name="OUI">#REF!</definedName>
    <definedName name="s">#REF!</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8" l="1"/>
  <c r="H15" i="8"/>
  <c r="G15" i="8"/>
  <c r="D15" i="8"/>
  <c r="B15" i="8"/>
  <c r="H14" i="8"/>
  <c r="G14" i="8"/>
  <c r="D14" i="8"/>
  <c r="B14" i="8"/>
  <c r="H13" i="8"/>
  <c r="G13" i="8"/>
  <c r="D13" i="8"/>
  <c r="B13" i="8"/>
  <c r="D12" i="8"/>
  <c r="D11" i="8"/>
  <c r="D10" i="8"/>
  <c r="D9" i="8"/>
  <c r="D8" i="8"/>
  <c r="D7" i="8"/>
  <c r="D6" i="8"/>
  <c r="D5" i="8"/>
  <c r="D4" i="8"/>
  <c r="V77" i="5"/>
  <c r="H77" i="5"/>
  <c r="W77" i="5" s="1"/>
  <c r="V76" i="5"/>
  <c r="H76" i="5"/>
  <c r="W76" i="5" s="1"/>
  <c r="W75" i="5"/>
  <c r="V75" i="5"/>
  <c r="H75" i="5"/>
  <c r="V74" i="5"/>
  <c r="H74" i="5"/>
  <c r="W74" i="5" s="1"/>
  <c r="V73" i="5"/>
  <c r="H73" i="5"/>
  <c r="W73" i="5" s="1"/>
  <c r="V72" i="5"/>
  <c r="H72" i="5"/>
  <c r="W72" i="5" s="1"/>
  <c r="W71" i="5"/>
  <c r="V71" i="5"/>
  <c r="H71" i="5"/>
  <c r="V70" i="5"/>
  <c r="H70" i="5"/>
  <c r="W70" i="5" s="1"/>
  <c r="V69" i="5"/>
  <c r="H69" i="5"/>
  <c r="W69" i="5" s="1"/>
  <c r="V68" i="5"/>
  <c r="H68" i="5"/>
  <c r="W68" i="5" s="1"/>
  <c r="W67" i="5"/>
  <c r="V67" i="5"/>
  <c r="H67" i="5"/>
  <c r="V66" i="5"/>
  <c r="H66" i="5"/>
  <c r="W66" i="5" s="1"/>
  <c r="V65" i="5"/>
  <c r="H65" i="5"/>
  <c r="W65" i="5" s="1"/>
  <c r="V64" i="5"/>
  <c r="H64" i="5"/>
  <c r="W64" i="5" s="1"/>
  <c r="W63" i="5"/>
  <c r="V63" i="5"/>
  <c r="H63" i="5"/>
  <c r="V62" i="5"/>
  <c r="H62" i="5"/>
  <c r="W62" i="5" s="1"/>
  <c r="V61" i="5"/>
  <c r="H61" i="5"/>
  <c r="W61" i="5" s="1"/>
  <c r="V60" i="5"/>
  <c r="H60" i="5"/>
  <c r="W60" i="5" s="1"/>
  <c r="W59" i="5"/>
  <c r="V59" i="5"/>
  <c r="H59" i="5"/>
  <c r="V58" i="5"/>
  <c r="H58" i="5"/>
  <c r="W58" i="5" s="1"/>
  <c r="V57" i="5"/>
  <c r="H57" i="5"/>
  <c r="W57" i="5" s="1"/>
  <c r="V56" i="5"/>
  <c r="H56" i="5"/>
  <c r="W56" i="5" s="1"/>
  <c r="W55" i="5"/>
  <c r="V55" i="5"/>
  <c r="H55" i="5"/>
  <c r="V54" i="5"/>
  <c r="H54" i="5"/>
  <c r="W54" i="5" s="1"/>
  <c r="V53" i="5"/>
  <c r="H53" i="5"/>
  <c r="W53" i="5" s="1"/>
  <c r="V52" i="5"/>
  <c r="H52" i="5"/>
  <c r="W52" i="5" s="1"/>
  <c r="W51" i="5"/>
  <c r="V51" i="5"/>
  <c r="H51" i="5"/>
  <c r="V50" i="5"/>
  <c r="H50" i="5"/>
  <c r="W50" i="5" s="1"/>
  <c r="V49" i="5"/>
  <c r="H49" i="5"/>
  <c r="W49" i="5" s="1"/>
  <c r="V48" i="5"/>
  <c r="H48" i="5"/>
  <c r="W48" i="5" s="1"/>
  <c r="W47" i="5"/>
  <c r="V47" i="5"/>
  <c r="H47" i="5"/>
  <c r="V46" i="5"/>
  <c r="H46" i="5"/>
  <c r="W46" i="5" s="1"/>
  <c r="V45" i="5"/>
  <c r="H45" i="5"/>
  <c r="W45" i="5" s="1"/>
  <c r="V44" i="5"/>
  <c r="H44" i="5"/>
  <c r="W44" i="5" s="1"/>
  <c r="W43" i="5"/>
  <c r="V43" i="5"/>
  <c r="H43" i="5"/>
  <c r="V42" i="5"/>
  <c r="H42" i="5"/>
  <c r="W42" i="5" s="1"/>
  <c r="V41" i="5"/>
  <c r="H41" i="5"/>
  <c r="W41" i="5" s="1"/>
  <c r="V40" i="5"/>
  <c r="H40" i="5"/>
  <c r="W40" i="5" s="1"/>
  <c r="W39" i="5"/>
  <c r="V39" i="5"/>
  <c r="H39" i="5"/>
  <c r="V38" i="5"/>
  <c r="H38" i="5"/>
  <c r="W38" i="5" s="1"/>
  <c r="V37" i="5"/>
  <c r="H37" i="5"/>
  <c r="W37" i="5" s="1"/>
  <c r="V36" i="5"/>
  <c r="H36" i="5"/>
  <c r="W36" i="5" s="1"/>
  <c r="W35" i="5"/>
  <c r="V35" i="5"/>
  <c r="H35" i="5"/>
  <c r="V34" i="5"/>
  <c r="H34" i="5"/>
  <c r="W34" i="5" s="1"/>
  <c r="V33" i="5"/>
  <c r="H33" i="5"/>
  <c r="W33" i="5" s="1"/>
  <c r="V32" i="5"/>
  <c r="H32" i="5"/>
  <c r="W32" i="5" s="1"/>
  <c r="W31" i="5"/>
  <c r="V31" i="5"/>
  <c r="H31" i="5"/>
  <c r="V30" i="5"/>
  <c r="H30" i="5"/>
  <c r="W30" i="5" s="1"/>
  <c r="V29" i="5"/>
  <c r="H29" i="5"/>
  <c r="W29" i="5" s="1"/>
  <c r="V28" i="5"/>
  <c r="H28" i="5"/>
  <c r="W28" i="5" s="1"/>
  <c r="W27" i="5"/>
  <c r="V27" i="5"/>
  <c r="H27" i="5"/>
  <c r="V26" i="5"/>
  <c r="H26" i="5"/>
  <c r="W26" i="5" s="1"/>
  <c r="V25" i="5"/>
  <c r="H25" i="5"/>
  <c r="W25" i="5" s="1"/>
  <c r="V24" i="5"/>
  <c r="H24" i="5"/>
  <c r="W24" i="5" s="1"/>
  <c r="W23" i="5"/>
  <c r="V23" i="5"/>
  <c r="H23" i="5"/>
  <c r="V22" i="5"/>
  <c r="H22" i="5"/>
  <c r="W22" i="5" s="1"/>
  <c r="V21" i="5"/>
  <c r="H21" i="5"/>
  <c r="W21" i="5" s="1"/>
  <c r="V20" i="5"/>
  <c r="H20" i="5"/>
  <c r="W20" i="5" s="1"/>
  <c r="W19" i="5"/>
  <c r="V19" i="5"/>
  <c r="H19" i="5"/>
  <c r="V18" i="5"/>
  <c r="H18" i="5"/>
  <c r="W18" i="5" s="1"/>
  <c r="V17" i="5"/>
  <c r="H17" i="5"/>
  <c r="W17" i="5" s="1"/>
  <c r="V16" i="5"/>
  <c r="H16" i="5"/>
  <c r="W16" i="5" s="1"/>
  <c r="W15" i="5"/>
  <c r="V15" i="5"/>
  <c r="H15" i="5"/>
  <c r="V14" i="5"/>
  <c r="H14" i="5"/>
  <c r="W14" i="5" s="1"/>
  <c r="V13" i="5"/>
  <c r="H13" i="5"/>
  <c r="W13" i="5" s="1"/>
  <c r="V12" i="5"/>
  <c r="H12" i="5"/>
  <c r="W12" i="5" s="1"/>
  <c r="W11" i="5"/>
  <c r="V11" i="5"/>
  <c r="H11" i="5"/>
  <c r="V10" i="5"/>
  <c r="H10" i="5"/>
  <c r="W10" i="5" s="1"/>
  <c r="V9" i="5"/>
  <c r="H9" i="5"/>
  <c r="W9" i="5" s="1"/>
  <c r="V8" i="5"/>
  <c r="H8" i="5"/>
  <c r="W8" i="5" s="1"/>
  <c r="W7" i="5"/>
  <c r="V7" i="5"/>
  <c r="H7" i="5"/>
  <c r="V6" i="5"/>
  <c r="H6" i="5"/>
  <c r="V77" i="4"/>
  <c r="H77" i="4"/>
  <c r="W77" i="4" s="1"/>
  <c r="V76" i="4"/>
  <c r="H76" i="4"/>
  <c r="W76" i="4" s="1"/>
  <c r="W75" i="4"/>
  <c r="V75" i="4"/>
  <c r="H75" i="4"/>
  <c r="V74" i="4"/>
  <c r="H74" i="4"/>
  <c r="W74" i="4" s="1"/>
  <c r="V73" i="4"/>
  <c r="H73" i="4"/>
  <c r="W73" i="4" s="1"/>
  <c r="V72" i="4"/>
  <c r="H72" i="4"/>
  <c r="W72" i="4" s="1"/>
  <c r="W71" i="4"/>
  <c r="V71" i="4"/>
  <c r="H71" i="4"/>
  <c r="V70" i="4"/>
  <c r="H70" i="4"/>
  <c r="W70" i="4" s="1"/>
  <c r="V69" i="4"/>
  <c r="H69" i="4"/>
  <c r="W69" i="4" s="1"/>
  <c r="V68" i="4"/>
  <c r="H68" i="4"/>
  <c r="W68" i="4" s="1"/>
  <c r="W67" i="4"/>
  <c r="V67" i="4"/>
  <c r="H67" i="4"/>
  <c r="V66" i="4"/>
  <c r="H66" i="4"/>
  <c r="W66" i="4" s="1"/>
  <c r="V65" i="4"/>
  <c r="H65" i="4"/>
  <c r="W65" i="4" s="1"/>
  <c r="V64" i="4"/>
  <c r="H64" i="4"/>
  <c r="W64" i="4" s="1"/>
  <c r="W63" i="4"/>
  <c r="V63" i="4"/>
  <c r="H63" i="4"/>
  <c r="V62" i="4"/>
  <c r="H62" i="4"/>
  <c r="W62" i="4" s="1"/>
  <c r="V61" i="4"/>
  <c r="H61" i="4"/>
  <c r="W61" i="4" s="1"/>
  <c r="V60" i="4"/>
  <c r="H60" i="4"/>
  <c r="W60" i="4" s="1"/>
  <c r="W59" i="4"/>
  <c r="V59" i="4"/>
  <c r="H59" i="4"/>
  <c r="V58" i="4"/>
  <c r="H58" i="4"/>
  <c r="W58" i="4" s="1"/>
  <c r="V57" i="4"/>
  <c r="H57" i="4"/>
  <c r="W57" i="4" s="1"/>
  <c r="V56" i="4"/>
  <c r="H56" i="4"/>
  <c r="W56" i="4" s="1"/>
  <c r="W55" i="4"/>
  <c r="V55" i="4"/>
  <c r="H55" i="4"/>
  <c r="V54" i="4"/>
  <c r="H54" i="4"/>
  <c r="W54" i="4" s="1"/>
  <c r="V53" i="4"/>
  <c r="H53" i="4"/>
  <c r="W53" i="4" s="1"/>
  <c r="V52" i="4"/>
  <c r="H52" i="4"/>
  <c r="W52" i="4" s="1"/>
  <c r="W51" i="4"/>
  <c r="V51" i="4"/>
  <c r="H51" i="4"/>
  <c r="V50" i="4"/>
  <c r="H50" i="4"/>
  <c r="W50" i="4" s="1"/>
  <c r="V49" i="4"/>
  <c r="H49" i="4"/>
  <c r="W49" i="4" s="1"/>
  <c r="V48" i="4"/>
  <c r="H48" i="4"/>
  <c r="W48" i="4" s="1"/>
  <c r="W47" i="4"/>
  <c r="V47" i="4"/>
  <c r="H47" i="4"/>
  <c r="V46" i="4"/>
  <c r="H46" i="4"/>
  <c r="W46" i="4" s="1"/>
  <c r="V45" i="4"/>
  <c r="H45" i="4"/>
  <c r="W45" i="4" s="1"/>
  <c r="V44" i="4"/>
  <c r="H44" i="4"/>
  <c r="W44" i="4" s="1"/>
  <c r="W43" i="4"/>
  <c r="V43" i="4"/>
  <c r="H43" i="4"/>
  <c r="V42" i="4"/>
  <c r="H42" i="4"/>
  <c r="W42" i="4" s="1"/>
  <c r="V41" i="4"/>
  <c r="H41" i="4"/>
  <c r="W41" i="4" s="1"/>
  <c r="V40" i="4"/>
  <c r="H40" i="4"/>
  <c r="W40" i="4" s="1"/>
  <c r="W39" i="4"/>
  <c r="V39" i="4"/>
  <c r="H39" i="4"/>
  <c r="V38" i="4"/>
  <c r="H38" i="4"/>
  <c r="W38" i="4" s="1"/>
  <c r="V37" i="4"/>
  <c r="H37" i="4"/>
  <c r="W37" i="4" s="1"/>
  <c r="V36" i="4"/>
  <c r="H36" i="4"/>
  <c r="W36" i="4" s="1"/>
  <c r="W35" i="4"/>
  <c r="V35" i="4"/>
  <c r="H35" i="4"/>
  <c r="V34" i="4"/>
  <c r="H34" i="4"/>
  <c r="W34" i="4" s="1"/>
  <c r="V33" i="4"/>
  <c r="H33" i="4"/>
  <c r="W33" i="4" s="1"/>
  <c r="V32" i="4"/>
  <c r="H32" i="4"/>
  <c r="W32" i="4" s="1"/>
  <c r="W31" i="4"/>
  <c r="V31" i="4"/>
  <c r="H31" i="4"/>
  <c r="V30" i="4"/>
  <c r="H30" i="4"/>
  <c r="W30" i="4" s="1"/>
  <c r="V29" i="4"/>
  <c r="H29" i="4"/>
  <c r="W29" i="4" s="1"/>
  <c r="V28" i="4"/>
  <c r="H28" i="4"/>
  <c r="W28" i="4" s="1"/>
  <c r="W27" i="4"/>
  <c r="V27" i="4"/>
  <c r="H27" i="4"/>
  <c r="V26" i="4"/>
  <c r="H26" i="4"/>
  <c r="W26" i="4" s="1"/>
  <c r="V25" i="4"/>
  <c r="H25" i="4"/>
  <c r="W25" i="4" s="1"/>
  <c r="V24" i="4"/>
  <c r="H24" i="4"/>
  <c r="W24" i="4" s="1"/>
  <c r="W23" i="4"/>
  <c r="V23" i="4"/>
  <c r="H23" i="4"/>
  <c r="V22" i="4"/>
  <c r="H22" i="4"/>
  <c r="W22" i="4" s="1"/>
  <c r="V21" i="4"/>
  <c r="H21" i="4"/>
  <c r="W21" i="4" s="1"/>
  <c r="V20" i="4"/>
  <c r="H20" i="4"/>
  <c r="W20" i="4" s="1"/>
  <c r="W19" i="4"/>
  <c r="V19" i="4"/>
  <c r="H19" i="4"/>
  <c r="V18" i="4"/>
  <c r="H18" i="4"/>
  <c r="W18" i="4" s="1"/>
  <c r="V17" i="4"/>
  <c r="H17" i="4"/>
  <c r="W17" i="4" s="1"/>
  <c r="V16" i="4"/>
  <c r="H16" i="4"/>
  <c r="W16" i="4" s="1"/>
  <c r="W15" i="4"/>
  <c r="V15" i="4"/>
  <c r="H15" i="4"/>
  <c r="V14" i="4"/>
  <c r="H14" i="4"/>
  <c r="W14" i="4" s="1"/>
  <c r="V13" i="4"/>
  <c r="H13" i="4"/>
  <c r="W13" i="4" s="1"/>
  <c r="V12" i="4"/>
  <c r="H12" i="4"/>
  <c r="W12" i="4" s="1"/>
  <c r="W11" i="4"/>
  <c r="V11" i="4"/>
  <c r="H11" i="4"/>
  <c r="V10" i="4"/>
  <c r="H10" i="4"/>
  <c r="W10" i="4" s="1"/>
  <c r="V9" i="4"/>
  <c r="H9" i="4"/>
  <c r="W9" i="4" s="1"/>
  <c r="V8" i="4"/>
  <c r="H8" i="4"/>
  <c r="W8" i="4" s="1"/>
  <c r="W7" i="4"/>
  <c r="V7" i="4"/>
  <c r="H7" i="4"/>
  <c r="V6" i="4"/>
  <c r="H6" i="4"/>
  <c r="V77" i="3"/>
  <c r="H77" i="3"/>
  <c r="W77" i="3" s="1"/>
  <c r="V76" i="3"/>
  <c r="H76" i="3"/>
  <c r="W76" i="3" s="1"/>
  <c r="W75" i="3"/>
  <c r="V75" i="3"/>
  <c r="H75" i="3"/>
  <c r="V74" i="3"/>
  <c r="H74" i="3"/>
  <c r="W74" i="3" s="1"/>
  <c r="V73" i="3"/>
  <c r="H73" i="3"/>
  <c r="W73" i="3" s="1"/>
  <c r="V72" i="3"/>
  <c r="H72" i="3"/>
  <c r="W72" i="3" s="1"/>
  <c r="W71" i="3"/>
  <c r="V71" i="3"/>
  <c r="H71" i="3"/>
  <c r="V70" i="3"/>
  <c r="H70" i="3"/>
  <c r="W70" i="3" s="1"/>
  <c r="V69" i="3"/>
  <c r="H69" i="3"/>
  <c r="W69" i="3" s="1"/>
  <c r="V68" i="3"/>
  <c r="H68" i="3"/>
  <c r="W68" i="3" s="1"/>
  <c r="W67" i="3"/>
  <c r="V67" i="3"/>
  <c r="H67" i="3"/>
  <c r="V66" i="3"/>
  <c r="H66" i="3"/>
  <c r="W66" i="3" s="1"/>
  <c r="V65" i="3"/>
  <c r="H65" i="3"/>
  <c r="W65" i="3" s="1"/>
  <c r="V64" i="3"/>
  <c r="H64" i="3"/>
  <c r="W64" i="3" s="1"/>
  <c r="W63" i="3"/>
  <c r="V63" i="3"/>
  <c r="H63" i="3"/>
  <c r="V62" i="3"/>
  <c r="H62" i="3"/>
  <c r="W62" i="3" s="1"/>
  <c r="V61" i="3"/>
  <c r="H61" i="3"/>
  <c r="W61" i="3" s="1"/>
  <c r="V60" i="3"/>
  <c r="H60" i="3"/>
  <c r="W60" i="3" s="1"/>
  <c r="W59" i="3"/>
  <c r="V59" i="3"/>
  <c r="H59" i="3"/>
  <c r="V58" i="3"/>
  <c r="H58" i="3"/>
  <c r="W58" i="3" s="1"/>
  <c r="V57" i="3"/>
  <c r="H57" i="3"/>
  <c r="W57" i="3" s="1"/>
  <c r="V56" i="3"/>
  <c r="H56" i="3"/>
  <c r="W56" i="3" s="1"/>
  <c r="W55" i="3"/>
  <c r="C55" i="7" s="1"/>
  <c r="V55" i="3"/>
  <c r="H55" i="3"/>
  <c r="V54" i="3"/>
  <c r="H54" i="3"/>
  <c r="W54" i="3" s="1"/>
  <c r="V53" i="3"/>
  <c r="H53" i="3"/>
  <c r="W53" i="3" s="1"/>
  <c r="V52" i="3"/>
  <c r="H52" i="3"/>
  <c r="W52" i="3" s="1"/>
  <c r="W51" i="3"/>
  <c r="F51" i="7" s="1"/>
  <c r="V51" i="3"/>
  <c r="H51" i="3"/>
  <c r="V50" i="3"/>
  <c r="H50" i="3"/>
  <c r="W50" i="3" s="1"/>
  <c r="V49" i="3"/>
  <c r="H49" i="3"/>
  <c r="W49" i="3" s="1"/>
  <c r="V48" i="3"/>
  <c r="H48" i="3"/>
  <c r="W48" i="3" s="1"/>
  <c r="W47" i="3"/>
  <c r="V47" i="3"/>
  <c r="H47" i="3"/>
  <c r="V46" i="3"/>
  <c r="H46" i="3"/>
  <c r="W46" i="3" s="1"/>
  <c r="V45" i="3"/>
  <c r="H45" i="3"/>
  <c r="W45" i="3" s="1"/>
  <c r="V44" i="3"/>
  <c r="H44" i="3"/>
  <c r="W44" i="3" s="1"/>
  <c r="W43" i="3"/>
  <c r="V43" i="3"/>
  <c r="H43" i="3"/>
  <c r="V42" i="3"/>
  <c r="H42" i="3"/>
  <c r="W42" i="3" s="1"/>
  <c r="V41" i="3"/>
  <c r="H41" i="3"/>
  <c r="W41" i="3" s="1"/>
  <c r="V40" i="3"/>
  <c r="H40" i="3"/>
  <c r="W40" i="3" s="1"/>
  <c r="W39" i="3"/>
  <c r="V39" i="3"/>
  <c r="H39" i="3"/>
  <c r="V38" i="3"/>
  <c r="H38" i="3"/>
  <c r="W38" i="3" s="1"/>
  <c r="V37" i="3"/>
  <c r="H37" i="3"/>
  <c r="W37" i="3" s="1"/>
  <c r="V36" i="3"/>
  <c r="H36" i="3"/>
  <c r="W36" i="3" s="1"/>
  <c r="W35" i="3"/>
  <c r="C35" i="7" s="1"/>
  <c r="V35" i="3"/>
  <c r="H35" i="3"/>
  <c r="V34" i="3"/>
  <c r="H34" i="3"/>
  <c r="W34" i="3" s="1"/>
  <c r="V33" i="3"/>
  <c r="H33" i="3"/>
  <c r="W33" i="3" s="1"/>
  <c r="V32" i="3"/>
  <c r="H32" i="3"/>
  <c r="W32" i="3" s="1"/>
  <c r="W31" i="3"/>
  <c r="E31" i="7" s="1"/>
  <c r="V31" i="3"/>
  <c r="H31" i="3"/>
  <c r="V30" i="3"/>
  <c r="H30" i="3"/>
  <c r="W30" i="3" s="1"/>
  <c r="V29" i="3"/>
  <c r="H29" i="3"/>
  <c r="W29" i="3" s="1"/>
  <c r="V28" i="3"/>
  <c r="H28" i="3"/>
  <c r="W28" i="3" s="1"/>
  <c r="W27" i="3"/>
  <c r="V27" i="3"/>
  <c r="H27" i="3"/>
  <c r="V26" i="3"/>
  <c r="H26" i="3"/>
  <c r="W26" i="3" s="1"/>
  <c r="V25" i="3"/>
  <c r="H25" i="3"/>
  <c r="W25" i="3" s="1"/>
  <c r="V24" i="3"/>
  <c r="H24" i="3"/>
  <c r="W24" i="3" s="1"/>
  <c r="W23" i="3"/>
  <c r="V23" i="3"/>
  <c r="H23" i="3"/>
  <c r="V22" i="3"/>
  <c r="H22" i="3"/>
  <c r="W22" i="3" s="1"/>
  <c r="V21" i="3"/>
  <c r="H21" i="3"/>
  <c r="W21" i="3" s="1"/>
  <c r="V20" i="3"/>
  <c r="H20" i="3"/>
  <c r="W20" i="3" s="1"/>
  <c r="W19" i="3"/>
  <c r="E19" i="7" s="1"/>
  <c r="V19" i="3"/>
  <c r="H19" i="3"/>
  <c r="V18" i="3"/>
  <c r="H18" i="3"/>
  <c r="W18" i="3" s="1"/>
  <c r="V17" i="3"/>
  <c r="H17" i="3"/>
  <c r="W17" i="3" s="1"/>
  <c r="V16" i="3"/>
  <c r="H16" i="3"/>
  <c r="W16" i="3" s="1"/>
  <c r="W15" i="3"/>
  <c r="D15" i="7" s="1"/>
  <c r="V15" i="3"/>
  <c r="H15" i="3"/>
  <c r="V14" i="3"/>
  <c r="H14" i="3"/>
  <c r="W14" i="3" s="1"/>
  <c r="V13" i="3"/>
  <c r="H13" i="3"/>
  <c r="W13" i="3" s="1"/>
  <c r="V12" i="3"/>
  <c r="H12" i="3"/>
  <c r="W12" i="3" s="1"/>
  <c r="W11" i="3"/>
  <c r="F11" i="7" s="1"/>
  <c r="V11" i="3"/>
  <c r="H11" i="3"/>
  <c r="V10" i="3"/>
  <c r="H10" i="3"/>
  <c r="W10" i="3" s="1"/>
  <c r="V9" i="3"/>
  <c r="H9" i="3"/>
  <c r="W9" i="3" s="1"/>
  <c r="V8" i="3"/>
  <c r="H8" i="3"/>
  <c r="W8" i="3" s="1"/>
  <c r="W7" i="3"/>
  <c r="F7" i="7" s="1"/>
  <c r="V7" i="3"/>
  <c r="H7" i="3"/>
  <c r="V6" i="3"/>
  <c r="H6" i="3"/>
  <c r="H61" i="7" l="1"/>
  <c r="G61" i="7"/>
  <c r="F61" i="7"/>
  <c r="E61" i="7"/>
  <c r="A61" i="7"/>
  <c r="I61" i="7"/>
  <c r="D61" i="7"/>
  <c r="C61" i="7"/>
  <c r="B61" i="7"/>
  <c r="H77" i="7"/>
  <c r="G77" i="7"/>
  <c r="F77" i="7"/>
  <c r="E77" i="7"/>
  <c r="D77" i="7"/>
  <c r="C77" i="7"/>
  <c r="B77" i="7"/>
  <c r="A77" i="7"/>
  <c r="I77" i="7"/>
  <c r="I93" i="7"/>
  <c r="H93" i="7"/>
  <c r="G93" i="7"/>
  <c r="F93" i="7"/>
  <c r="E93" i="7"/>
  <c r="C93" i="7"/>
  <c r="B93" i="7"/>
  <c r="A93" i="7"/>
  <c r="D93" i="7"/>
  <c r="I109" i="7"/>
  <c r="H109" i="7"/>
  <c r="G109" i="7"/>
  <c r="F109" i="7"/>
  <c r="E109" i="7"/>
  <c r="D109" i="7"/>
  <c r="C109" i="7"/>
  <c r="A109" i="7"/>
  <c r="B109" i="7"/>
  <c r="E125" i="7"/>
  <c r="I125" i="7"/>
  <c r="H125" i="7"/>
  <c r="G125" i="7"/>
  <c r="F125" i="7"/>
  <c r="D125" i="7"/>
  <c r="C125" i="7"/>
  <c r="B125" i="7"/>
  <c r="A125" i="7"/>
  <c r="F141" i="7"/>
  <c r="E141" i="7"/>
  <c r="D141" i="7"/>
  <c r="C141" i="7"/>
  <c r="B141" i="7"/>
  <c r="A141" i="7"/>
  <c r="I141" i="7"/>
  <c r="H141" i="7"/>
  <c r="G141" i="7"/>
  <c r="G157" i="7"/>
  <c r="F157" i="7"/>
  <c r="E157" i="7"/>
  <c r="D157" i="7"/>
  <c r="C157" i="7"/>
  <c r="B157" i="7"/>
  <c r="A157" i="7"/>
  <c r="I157" i="7"/>
  <c r="H157" i="7"/>
  <c r="F173" i="7"/>
  <c r="E173" i="7"/>
  <c r="D173" i="7"/>
  <c r="I173" i="7"/>
  <c r="H173" i="7"/>
  <c r="G173" i="7"/>
  <c r="C173" i="7"/>
  <c r="B173" i="7"/>
  <c r="A173" i="7"/>
  <c r="F189" i="7"/>
  <c r="D189" i="7"/>
  <c r="A189" i="7"/>
  <c r="H189" i="7"/>
  <c r="G189" i="7"/>
  <c r="E189" i="7"/>
  <c r="I189" i="7"/>
  <c r="C189" i="7"/>
  <c r="B189" i="7"/>
  <c r="F205" i="7"/>
  <c r="D205" i="7"/>
  <c r="A205" i="7"/>
  <c r="G205" i="7"/>
  <c r="E205" i="7"/>
  <c r="C205" i="7"/>
  <c r="B205" i="7"/>
  <c r="I205" i="7"/>
  <c r="H205" i="7"/>
  <c r="F221" i="7"/>
  <c r="D221" i="7"/>
  <c r="A221" i="7"/>
  <c r="I221" i="7"/>
  <c r="H221" i="7"/>
  <c r="G221" i="7"/>
  <c r="E221" i="7"/>
  <c r="C221" i="7"/>
  <c r="B221" i="7"/>
  <c r="I8" i="7"/>
  <c r="H8" i="7"/>
  <c r="G8" i="7"/>
  <c r="F8" i="7"/>
  <c r="E8" i="7"/>
  <c r="A8" i="7"/>
  <c r="D8" i="7"/>
  <c r="C8" i="7"/>
  <c r="B8" i="7"/>
  <c r="E24" i="7"/>
  <c r="D24" i="7"/>
  <c r="C24" i="7"/>
  <c r="B24" i="7"/>
  <c r="I24" i="7"/>
  <c r="G24" i="7"/>
  <c r="F24" i="7"/>
  <c r="H24" i="7"/>
  <c r="A24" i="7"/>
  <c r="E40" i="7"/>
  <c r="D40" i="7"/>
  <c r="C40" i="7"/>
  <c r="B40" i="7"/>
  <c r="A40" i="7"/>
  <c r="I40" i="7"/>
  <c r="G40" i="7"/>
  <c r="H40" i="7"/>
  <c r="F40" i="7"/>
  <c r="E56" i="7"/>
  <c r="D56" i="7"/>
  <c r="C56" i="7"/>
  <c r="B56" i="7"/>
  <c r="I56" i="7"/>
  <c r="H56" i="7"/>
  <c r="G56" i="7"/>
  <c r="F56" i="7"/>
  <c r="A56" i="7"/>
  <c r="E72" i="7"/>
  <c r="D72" i="7"/>
  <c r="C72" i="7"/>
  <c r="B72" i="7"/>
  <c r="A72" i="7"/>
  <c r="G72" i="7"/>
  <c r="F72" i="7"/>
  <c r="I72" i="7"/>
  <c r="H72" i="7"/>
  <c r="H88" i="7"/>
  <c r="F88" i="7"/>
  <c r="E88" i="7"/>
  <c r="B88" i="7"/>
  <c r="A88" i="7"/>
  <c r="D88" i="7"/>
  <c r="C88" i="7"/>
  <c r="I88" i="7"/>
  <c r="G88" i="7"/>
  <c r="H104" i="7"/>
  <c r="G104" i="7"/>
  <c r="F104" i="7"/>
  <c r="E104" i="7"/>
  <c r="D104" i="7"/>
  <c r="C104" i="7"/>
  <c r="B104" i="7"/>
  <c r="A104" i="7"/>
  <c r="I104" i="7"/>
  <c r="B120" i="7"/>
  <c r="I120" i="7"/>
  <c r="H120" i="7"/>
  <c r="G120" i="7"/>
  <c r="F120" i="7"/>
  <c r="E120" i="7"/>
  <c r="C120" i="7"/>
  <c r="D120" i="7"/>
  <c r="A120" i="7"/>
  <c r="C136" i="7"/>
  <c r="B136" i="7"/>
  <c r="A136" i="7"/>
  <c r="I136" i="7"/>
  <c r="H136" i="7"/>
  <c r="G136" i="7"/>
  <c r="F136" i="7"/>
  <c r="D136" i="7"/>
  <c r="E136" i="7"/>
  <c r="D152" i="7"/>
  <c r="C152" i="7"/>
  <c r="B152" i="7"/>
  <c r="A152" i="7"/>
  <c r="I152" i="7"/>
  <c r="H152" i="7"/>
  <c r="G152" i="7"/>
  <c r="F152" i="7"/>
  <c r="E152" i="7"/>
  <c r="I168" i="7"/>
  <c r="H168" i="7"/>
  <c r="G168" i="7"/>
  <c r="C168" i="7"/>
  <c r="A168" i="7"/>
  <c r="F168" i="7"/>
  <c r="E168" i="7"/>
  <c r="D168" i="7"/>
  <c r="B168" i="7"/>
  <c r="C184" i="7"/>
  <c r="A184" i="7"/>
  <c r="G184" i="7"/>
  <c r="E184" i="7"/>
  <c r="D184" i="7"/>
  <c r="B184" i="7"/>
  <c r="I184" i="7"/>
  <c r="H184" i="7"/>
  <c r="F184" i="7"/>
  <c r="C200" i="7"/>
  <c r="A200" i="7"/>
  <c r="G200" i="7"/>
  <c r="D200" i="7"/>
  <c r="B200" i="7"/>
  <c r="I200" i="7"/>
  <c r="H200" i="7"/>
  <c r="F200" i="7"/>
  <c r="E200" i="7"/>
  <c r="C216" i="7"/>
  <c r="A216" i="7"/>
  <c r="G216" i="7"/>
  <c r="I216" i="7"/>
  <c r="H216" i="7"/>
  <c r="F216" i="7"/>
  <c r="E216" i="7"/>
  <c r="D216" i="7"/>
  <c r="B216" i="7"/>
  <c r="H73" i="7"/>
  <c r="G73" i="7"/>
  <c r="F73" i="7"/>
  <c r="E73" i="7"/>
  <c r="D73" i="7"/>
  <c r="C73" i="7"/>
  <c r="B73" i="7"/>
  <c r="A73" i="7"/>
  <c r="I73" i="7"/>
  <c r="G153" i="7"/>
  <c r="F153" i="7"/>
  <c r="E153" i="7"/>
  <c r="D153" i="7"/>
  <c r="C153" i="7"/>
  <c r="B153" i="7"/>
  <c r="A153" i="7"/>
  <c r="I153" i="7"/>
  <c r="H153" i="7"/>
  <c r="E20" i="7"/>
  <c r="D20" i="7"/>
  <c r="C20" i="7"/>
  <c r="B20" i="7"/>
  <c r="I20" i="7"/>
  <c r="G20" i="7"/>
  <c r="H20" i="7"/>
  <c r="F20" i="7"/>
  <c r="A20" i="7"/>
  <c r="H100" i="7"/>
  <c r="G100" i="7"/>
  <c r="F100" i="7"/>
  <c r="E100" i="7"/>
  <c r="D100" i="7"/>
  <c r="C100" i="7"/>
  <c r="B100" i="7"/>
  <c r="A100" i="7"/>
  <c r="I100" i="7"/>
  <c r="B116" i="7"/>
  <c r="I116" i="7"/>
  <c r="H116" i="7"/>
  <c r="G116" i="7"/>
  <c r="F116" i="7"/>
  <c r="E116" i="7"/>
  <c r="D116" i="7"/>
  <c r="C116" i="7"/>
  <c r="A116" i="7"/>
  <c r="C132" i="7"/>
  <c r="B132" i="7"/>
  <c r="A132" i="7"/>
  <c r="I132" i="7"/>
  <c r="H132" i="7"/>
  <c r="G132" i="7"/>
  <c r="F132" i="7"/>
  <c r="E132" i="7"/>
  <c r="D132" i="7"/>
  <c r="D148" i="7"/>
  <c r="C148" i="7"/>
  <c r="B148" i="7"/>
  <c r="A148" i="7"/>
  <c r="I148" i="7"/>
  <c r="H148" i="7"/>
  <c r="G148" i="7"/>
  <c r="F148" i="7"/>
  <c r="E148" i="7"/>
  <c r="H164" i="7"/>
  <c r="G164" i="7"/>
  <c r="C164" i="7"/>
  <c r="I164" i="7"/>
  <c r="F164" i="7"/>
  <c r="E164" i="7"/>
  <c r="D164" i="7"/>
  <c r="B164" i="7"/>
  <c r="A164" i="7"/>
  <c r="C180" i="7"/>
  <c r="A180" i="7"/>
  <c r="G180" i="7"/>
  <c r="H180" i="7"/>
  <c r="F180" i="7"/>
  <c r="E180" i="7"/>
  <c r="I180" i="7"/>
  <c r="D180" i="7"/>
  <c r="B180" i="7"/>
  <c r="C196" i="7"/>
  <c r="A196" i="7"/>
  <c r="G196" i="7"/>
  <c r="F196" i="7"/>
  <c r="E196" i="7"/>
  <c r="D196" i="7"/>
  <c r="B196" i="7"/>
  <c r="I196" i="7"/>
  <c r="H196" i="7"/>
  <c r="C212" i="7"/>
  <c r="A212" i="7"/>
  <c r="G212" i="7"/>
  <c r="D212" i="7"/>
  <c r="B212" i="7"/>
  <c r="I212" i="7"/>
  <c r="H212" i="7"/>
  <c r="F212" i="7"/>
  <c r="E212" i="7"/>
  <c r="G13" i="7"/>
  <c r="F13" i="7"/>
  <c r="E13" i="7"/>
  <c r="C13" i="7"/>
  <c r="I13" i="7"/>
  <c r="D13" i="7"/>
  <c r="H13" i="7"/>
  <c r="B13" i="7"/>
  <c r="A13" i="7"/>
  <c r="H45" i="7"/>
  <c r="F45" i="7"/>
  <c r="I45" i="7"/>
  <c r="G45" i="7"/>
  <c r="E45" i="7"/>
  <c r="D45" i="7"/>
  <c r="B45" i="7"/>
  <c r="C45" i="7"/>
  <c r="A45" i="7"/>
  <c r="I30" i="7"/>
  <c r="H30" i="7"/>
  <c r="F30" i="7"/>
  <c r="E30" i="7"/>
  <c r="D30" i="7"/>
  <c r="C30" i="7"/>
  <c r="A30" i="7"/>
  <c r="G30" i="7"/>
  <c r="B30" i="7"/>
  <c r="I62" i="7"/>
  <c r="H62" i="7"/>
  <c r="D62" i="7"/>
  <c r="G62" i="7"/>
  <c r="F62" i="7"/>
  <c r="E62" i="7"/>
  <c r="C62" i="7"/>
  <c r="B62" i="7"/>
  <c r="A62" i="7"/>
  <c r="H126" i="7"/>
  <c r="C126" i="7"/>
  <c r="D126" i="7"/>
  <c r="B126" i="7"/>
  <c r="A126" i="7"/>
  <c r="I126" i="7"/>
  <c r="F126" i="7"/>
  <c r="G126" i="7"/>
  <c r="E126" i="7"/>
  <c r="I158" i="7"/>
  <c r="H158" i="7"/>
  <c r="G158" i="7"/>
  <c r="F158" i="7"/>
  <c r="E158" i="7"/>
  <c r="D158" i="7"/>
  <c r="C158" i="7"/>
  <c r="B158" i="7"/>
  <c r="A158" i="7"/>
  <c r="C174" i="7"/>
  <c r="B174" i="7"/>
  <c r="A174" i="7"/>
  <c r="I174" i="7"/>
  <c r="H174" i="7"/>
  <c r="G174" i="7"/>
  <c r="F174" i="7"/>
  <c r="E174" i="7"/>
  <c r="D174" i="7"/>
  <c r="I206" i="7"/>
  <c r="G206" i="7"/>
  <c r="D206" i="7"/>
  <c r="A206" i="7"/>
  <c r="C206" i="7"/>
  <c r="B206" i="7"/>
  <c r="H206" i="7"/>
  <c r="F206" i="7"/>
  <c r="E206" i="7"/>
  <c r="H25" i="7"/>
  <c r="G25" i="7"/>
  <c r="F25" i="7"/>
  <c r="E25" i="7"/>
  <c r="C25" i="7"/>
  <c r="B25" i="7"/>
  <c r="A25" i="7"/>
  <c r="I25" i="7"/>
  <c r="D25" i="7"/>
  <c r="I89" i="7"/>
  <c r="H89" i="7"/>
  <c r="G89" i="7"/>
  <c r="F89" i="7"/>
  <c r="E89" i="7"/>
  <c r="D89" i="7"/>
  <c r="A89" i="7"/>
  <c r="C89" i="7"/>
  <c r="B89" i="7"/>
  <c r="F169" i="7"/>
  <c r="E169" i="7"/>
  <c r="D169" i="7"/>
  <c r="B169" i="7"/>
  <c r="A169" i="7"/>
  <c r="I169" i="7"/>
  <c r="H169" i="7"/>
  <c r="G169" i="7"/>
  <c r="C169" i="7"/>
  <c r="E36" i="7"/>
  <c r="D36" i="7"/>
  <c r="C36" i="7"/>
  <c r="B36" i="7"/>
  <c r="A36" i="7"/>
  <c r="I36" i="7"/>
  <c r="G36" i="7"/>
  <c r="H36" i="7"/>
  <c r="F36" i="7"/>
  <c r="C10" i="7"/>
  <c r="B10" i="7"/>
  <c r="A10" i="7"/>
  <c r="I10" i="7"/>
  <c r="G10" i="7"/>
  <c r="F10" i="7"/>
  <c r="H10" i="7"/>
  <c r="E10" i="7"/>
  <c r="D10" i="7"/>
  <c r="B90" i="7"/>
  <c r="H90" i="7"/>
  <c r="G90" i="7"/>
  <c r="F90" i="7"/>
  <c r="E90" i="7"/>
  <c r="D90" i="7"/>
  <c r="C90" i="7"/>
  <c r="A90" i="7"/>
  <c r="I90" i="7"/>
  <c r="B106" i="7"/>
  <c r="A106" i="7"/>
  <c r="I106" i="7"/>
  <c r="H106" i="7"/>
  <c r="G106" i="7"/>
  <c r="F106" i="7"/>
  <c r="D106" i="7"/>
  <c r="C106" i="7"/>
  <c r="E106" i="7"/>
  <c r="H122" i="7"/>
  <c r="C122" i="7"/>
  <c r="A122" i="7"/>
  <c r="I122" i="7"/>
  <c r="G122" i="7"/>
  <c r="F122" i="7"/>
  <c r="D122" i="7"/>
  <c r="E122" i="7"/>
  <c r="B122" i="7"/>
  <c r="I138" i="7"/>
  <c r="H138" i="7"/>
  <c r="G138" i="7"/>
  <c r="F138" i="7"/>
  <c r="E138" i="7"/>
  <c r="D138" i="7"/>
  <c r="C138" i="7"/>
  <c r="B138" i="7"/>
  <c r="A138" i="7"/>
  <c r="I154" i="7"/>
  <c r="H154" i="7"/>
  <c r="G154" i="7"/>
  <c r="F154" i="7"/>
  <c r="E154" i="7"/>
  <c r="D154" i="7"/>
  <c r="C154" i="7"/>
  <c r="B154" i="7"/>
  <c r="A154" i="7"/>
  <c r="C170" i="7"/>
  <c r="B170" i="7"/>
  <c r="A170" i="7"/>
  <c r="I170" i="7"/>
  <c r="H170" i="7"/>
  <c r="G170" i="7"/>
  <c r="E170" i="7"/>
  <c r="D170" i="7"/>
  <c r="F170" i="7"/>
  <c r="I186" i="7"/>
  <c r="G186" i="7"/>
  <c r="D186" i="7"/>
  <c r="A186" i="7"/>
  <c r="H186" i="7"/>
  <c r="F186" i="7"/>
  <c r="E186" i="7"/>
  <c r="C186" i="7"/>
  <c r="B186" i="7"/>
  <c r="I202" i="7"/>
  <c r="G202" i="7"/>
  <c r="D202" i="7"/>
  <c r="A202" i="7"/>
  <c r="H202" i="7"/>
  <c r="F202" i="7"/>
  <c r="E202" i="7"/>
  <c r="C202" i="7"/>
  <c r="B202" i="7"/>
  <c r="I218" i="7"/>
  <c r="G218" i="7"/>
  <c r="D218" i="7"/>
  <c r="A218" i="7"/>
  <c r="C218" i="7"/>
  <c r="B218" i="7"/>
  <c r="H218" i="7"/>
  <c r="F218" i="7"/>
  <c r="E218" i="7"/>
  <c r="H29" i="7"/>
  <c r="G29" i="7"/>
  <c r="F29" i="7"/>
  <c r="E29" i="7"/>
  <c r="C29" i="7"/>
  <c r="B29" i="7"/>
  <c r="A29" i="7"/>
  <c r="I29" i="7"/>
  <c r="D29" i="7"/>
  <c r="I14" i="7"/>
  <c r="H14" i="7"/>
  <c r="C14" i="7"/>
  <c r="G14" i="7"/>
  <c r="B14" i="7"/>
  <c r="F14" i="7"/>
  <c r="E14" i="7"/>
  <c r="D14" i="7"/>
  <c r="A14" i="7"/>
  <c r="I46" i="7"/>
  <c r="G46" i="7"/>
  <c r="F46" i="7"/>
  <c r="E46" i="7"/>
  <c r="D46" i="7"/>
  <c r="C46" i="7"/>
  <c r="B46" i="7"/>
  <c r="A46" i="7"/>
  <c r="H46" i="7"/>
  <c r="B94" i="7"/>
  <c r="A94" i="7"/>
  <c r="I94" i="7"/>
  <c r="H94" i="7"/>
  <c r="D94" i="7"/>
  <c r="G94" i="7"/>
  <c r="F94" i="7"/>
  <c r="E94" i="7"/>
  <c r="C94" i="7"/>
  <c r="B110" i="7"/>
  <c r="A110" i="7"/>
  <c r="I110" i="7"/>
  <c r="H110" i="7"/>
  <c r="G110" i="7"/>
  <c r="F110" i="7"/>
  <c r="D110" i="7"/>
  <c r="E110" i="7"/>
  <c r="C110" i="7"/>
  <c r="I142" i="7"/>
  <c r="H142" i="7"/>
  <c r="G142" i="7"/>
  <c r="F142" i="7"/>
  <c r="E142" i="7"/>
  <c r="D142" i="7"/>
  <c r="C142" i="7"/>
  <c r="B142" i="7"/>
  <c r="A142" i="7"/>
  <c r="I190" i="7"/>
  <c r="G190" i="7"/>
  <c r="D190" i="7"/>
  <c r="A190" i="7"/>
  <c r="E190" i="7"/>
  <c r="C190" i="7"/>
  <c r="B190" i="7"/>
  <c r="H190" i="7"/>
  <c r="F190" i="7"/>
  <c r="I9" i="7"/>
  <c r="C9" i="7"/>
  <c r="H9" i="7"/>
  <c r="G9" i="7"/>
  <c r="F9" i="7"/>
  <c r="E9" i="7"/>
  <c r="B9" i="7"/>
  <c r="A9" i="7"/>
  <c r="D9" i="7"/>
  <c r="H41" i="7"/>
  <c r="G41" i="7"/>
  <c r="F41" i="7"/>
  <c r="E41" i="7"/>
  <c r="D41" i="7"/>
  <c r="C41" i="7"/>
  <c r="B41" i="7"/>
  <c r="A41" i="7"/>
  <c r="I41" i="7"/>
  <c r="F137" i="7"/>
  <c r="E137" i="7"/>
  <c r="D137" i="7"/>
  <c r="C137" i="7"/>
  <c r="B137" i="7"/>
  <c r="A137" i="7"/>
  <c r="I137" i="7"/>
  <c r="H137" i="7"/>
  <c r="G137" i="7"/>
  <c r="F185" i="7"/>
  <c r="D185" i="7"/>
  <c r="A185" i="7"/>
  <c r="I185" i="7"/>
  <c r="H185" i="7"/>
  <c r="B185" i="7"/>
  <c r="G185" i="7"/>
  <c r="E185" i="7"/>
  <c r="C185" i="7"/>
  <c r="E68" i="7"/>
  <c r="D68" i="7"/>
  <c r="C68" i="7"/>
  <c r="B68" i="7"/>
  <c r="A68" i="7"/>
  <c r="G68" i="7"/>
  <c r="F68" i="7"/>
  <c r="I68" i="7"/>
  <c r="H68" i="7"/>
  <c r="I42" i="7"/>
  <c r="H42" i="7"/>
  <c r="G42" i="7"/>
  <c r="F42" i="7"/>
  <c r="E42" i="7"/>
  <c r="D42" i="7"/>
  <c r="C42" i="7"/>
  <c r="A42" i="7"/>
  <c r="B42" i="7"/>
  <c r="H69" i="7"/>
  <c r="G69" i="7"/>
  <c r="F69" i="7"/>
  <c r="E69" i="7"/>
  <c r="D69" i="7"/>
  <c r="C69" i="7"/>
  <c r="B69" i="7"/>
  <c r="A69" i="7"/>
  <c r="I69" i="7"/>
  <c r="I101" i="7"/>
  <c r="H101" i="7"/>
  <c r="G101" i="7"/>
  <c r="F101" i="7"/>
  <c r="E101" i="7"/>
  <c r="D101" i="7"/>
  <c r="C101" i="7"/>
  <c r="A101" i="7"/>
  <c r="B101" i="7"/>
  <c r="E117" i="7"/>
  <c r="F117" i="7"/>
  <c r="D117" i="7"/>
  <c r="C117" i="7"/>
  <c r="B117" i="7"/>
  <c r="A117" i="7"/>
  <c r="H117" i="7"/>
  <c r="G117" i="7"/>
  <c r="I117" i="7"/>
  <c r="F133" i="7"/>
  <c r="E133" i="7"/>
  <c r="D133" i="7"/>
  <c r="C133" i="7"/>
  <c r="B133" i="7"/>
  <c r="A133" i="7"/>
  <c r="H133" i="7"/>
  <c r="G133" i="7"/>
  <c r="I133" i="7"/>
  <c r="G149" i="7"/>
  <c r="F149" i="7"/>
  <c r="E149" i="7"/>
  <c r="D149" i="7"/>
  <c r="C149" i="7"/>
  <c r="B149" i="7"/>
  <c r="A149" i="7"/>
  <c r="I149" i="7"/>
  <c r="H149" i="7"/>
  <c r="F165" i="7"/>
  <c r="D165" i="7"/>
  <c r="H165" i="7"/>
  <c r="G165" i="7"/>
  <c r="E165" i="7"/>
  <c r="C165" i="7"/>
  <c r="B165" i="7"/>
  <c r="A165" i="7"/>
  <c r="I165" i="7"/>
  <c r="F181" i="7"/>
  <c r="D181" i="7"/>
  <c r="A181" i="7"/>
  <c r="E181" i="7"/>
  <c r="C181" i="7"/>
  <c r="B181" i="7"/>
  <c r="H181" i="7"/>
  <c r="G181" i="7"/>
  <c r="I181" i="7"/>
  <c r="F197" i="7"/>
  <c r="D197" i="7"/>
  <c r="A197" i="7"/>
  <c r="I197" i="7"/>
  <c r="H197" i="7"/>
  <c r="C197" i="7"/>
  <c r="B197" i="7"/>
  <c r="E197" i="7"/>
  <c r="G197" i="7"/>
  <c r="F213" i="7"/>
  <c r="D213" i="7"/>
  <c r="A213" i="7"/>
  <c r="I213" i="7"/>
  <c r="H213" i="7"/>
  <c r="G213" i="7"/>
  <c r="E213" i="7"/>
  <c r="C213" i="7"/>
  <c r="B213" i="7"/>
  <c r="D16" i="7"/>
  <c r="C16" i="7"/>
  <c r="B16" i="7"/>
  <c r="I16" i="7"/>
  <c r="H16" i="7"/>
  <c r="G16" i="7"/>
  <c r="F16" i="7"/>
  <c r="E16" i="7"/>
  <c r="A16" i="7"/>
  <c r="E32" i="7"/>
  <c r="D32" i="7"/>
  <c r="C32" i="7"/>
  <c r="B32" i="7"/>
  <c r="A32" i="7"/>
  <c r="I32" i="7"/>
  <c r="G32" i="7"/>
  <c r="H32" i="7"/>
  <c r="F32" i="7"/>
  <c r="E48" i="7"/>
  <c r="C48" i="7"/>
  <c r="B48" i="7"/>
  <c r="I48" i="7"/>
  <c r="H48" i="7"/>
  <c r="G48" i="7"/>
  <c r="F48" i="7"/>
  <c r="D48" i="7"/>
  <c r="A48" i="7"/>
  <c r="E64" i="7"/>
  <c r="D64" i="7"/>
  <c r="C64" i="7"/>
  <c r="B64" i="7"/>
  <c r="A64" i="7"/>
  <c r="G64" i="7"/>
  <c r="F64" i="7"/>
  <c r="I64" i="7"/>
  <c r="H64" i="7"/>
  <c r="E80" i="7"/>
  <c r="D80" i="7"/>
  <c r="C80" i="7"/>
  <c r="B80" i="7"/>
  <c r="A80" i="7"/>
  <c r="G80" i="7"/>
  <c r="F80" i="7"/>
  <c r="I80" i="7"/>
  <c r="H80" i="7"/>
  <c r="H96" i="7"/>
  <c r="G96" i="7"/>
  <c r="F96" i="7"/>
  <c r="E96" i="7"/>
  <c r="D96" i="7"/>
  <c r="C96" i="7"/>
  <c r="B96" i="7"/>
  <c r="I96" i="7"/>
  <c r="A96" i="7"/>
  <c r="B112" i="7"/>
  <c r="I112" i="7"/>
  <c r="H112" i="7"/>
  <c r="G112" i="7"/>
  <c r="F112" i="7"/>
  <c r="E112" i="7"/>
  <c r="D112" i="7"/>
  <c r="C112" i="7"/>
  <c r="A112" i="7"/>
  <c r="B128" i="7"/>
  <c r="I128" i="7"/>
  <c r="F128" i="7"/>
  <c r="E128" i="7"/>
  <c r="D128" i="7"/>
  <c r="C128" i="7"/>
  <c r="A128" i="7"/>
  <c r="H128" i="7"/>
  <c r="G128" i="7"/>
  <c r="C144" i="7"/>
  <c r="B144" i="7"/>
  <c r="A144" i="7"/>
  <c r="I144" i="7"/>
  <c r="H144" i="7"/>
  <c r="G144" i="7"/>
  <c r="F144" i="7"/>
  <c r="E144" i="7"/>
  <c r="D144" i="7"/>
  <c r="H160" i="7"/>
  <c r="G160" i="7"/>
  <c r="C160" i="7"/>
  <c r="I160" i="7"/>
  <c r="F160" i="7"/>
  <c r="E160" i="7"/>
  <c r="D160" i="7"/>
  <c r="B160" i="7"/>
  <c r="A160" i="7"/>
  <c r="C176" i="7"/>
  <c r="A176" i="7"/>
  <c r="G176" i="7"/>
  <c r="B176" i="7"/>
  <c r="I176" i="7"/>
  <c r="H176" i="7"/>
  <c r="E176" i="7"/>
  <c r="D176" i="7"/>
  <c r="F176" i="7"/>
  <c r="C192" i="7"/>
  <c r="A192" i="7"/>
  <c r="G192" i="7"/>
  <c r="H192" i="7"/>
  <c r="F192" i="7"/>
  <c r="E192" i="7"/>
  <c r="I192" i="7"/>
  <c r="D192" i="7"/>
  <c r="B192" i="7"/>
  <c r="C208" i="7"/>
  <c r="A208" i="7"/>
  <c r="G208" i="7"/>
  <c r="I208" i="7"/>
  <c r="H208" i="7"/>
  <c r="F208" i="7"/>
  <c r="E208" i="7"/>
  <c r="D208" i="7"/>
  <c r="B208" i="7"/>
  <c r="H57" i="7"/>
  <c r="G57" i="7"/>
  <c r="F57" i="7"/>
  <c r="E57" i="7"/>
  <c r="A57" i="7"/>
  <c r="I57" i="7"/>
  <c r="D57" i="7"/>
  <c r="C57" i="7"/>
  <c r="B57" i="7"/>
  <c r="I105" i="7"/>
  <c r="H105" i="7"/>
  <c r="G105" i="7"/>
  <c r="F105" i="7"/>
  <c r="E105" i="7"/>
  <c r="D105" i="7"/>
  <c r="C105" i="7"/>
  <c r="A105" i="7"/>
  <c r="B105" i="7"/>
  <c r="F217" i="7"/>
  <c r="D217" i="7"/>
  <c r="A217" i="7"/>
  <c r="G217" i="7"/>
  <c r="E217" i="7"/>
  <c r="C217" i="7"/>
  <c r="B217" i="7"/>
  <c r="I217" i="7"/>
  <c r="H217" i="7"/>
  <c r="E52" i="7"/>
  <c r="D52" i="7"/>
  <c r="C52" i="7"/>
  <c r="B52" i="7"/>
  <c r="I52" i="7"/>
  <c r="H52" i="7"/>
  <c r="G52" i="7"/>
  <c r="F52" i="7"/>
  <c r="A52" i="7"/>
  <c r="I26" i="7"/>
  <c r="H26" i="7"/>
  <c r="F26" i="7"/>
  <c r="E26" i="7"/>
  <c r="D26" i="7"/>
  <c r="C26" i="7"/>
  <c r="A26" i="7"/>
  <c r="G26" i="7"/>
  <c r="B26" i="7"/>
  <c r="I74" i="7"/>
  <c r="H74" i="7"/>
  <c r="G74" i="7"/>
  <c r="F74" i="7"/>
  <c r="E74" i="7"/>
  <c r="D74" i="7"/>
  <c r="A74" i="7"/>
  <c r="C74" i="7"/>
  <c r="B74" i="7"/>
  <c r="H37" i="7"/>
  <c r="G37" i="7"/>
  <c r="F37" i="7"/>
  <c r="E37" i="7"/>
  <c r="D37" i="7"/>
  <c r="C37" i="7"/>
  <c r="B37" i="7"/>
  <c r="A37" i="7"/>
  <c r="I37" i="7"/>
  <c r="I38" i="7"/>
  <c r="H38" i="7"/>
  <c r="G38" i="7"/>
  <c r="F38" i="7"/>
  <c r="E38" i="7"/>
  <c r="D38" i="7"/>
  <c r="C38" i="7"/>
  <c r="A38" i="7"/>
  <c r="B38" i="7"/>
  <c r="B86" i="7"/>
  <c r="I86" i="7"/>
  <c r="H86" i="7"/>
  <c r="G86" i="7"/>
  <c r="F86" i="7"/>
  <c r="E86" i="7"/>
  <c r="D86" i="7"/>
  <c r="C86" i="7"/>
  <c r="A86" i="7"/>
  <c r="B102" i="7"/>
  <c r="A102" i="7"/>
  <c r="I102" i="7"/>
  <c r="H102" i="7"/>
  <c r="G102" i="7"/>
  <c r="F102" i="7"/>
  <c r="D102" i="7"/>
  <c r="C102" i="7"/>
  <c r="E102" i="7"/>
  <c r="H118" i="7"/>
  <c r="C118" i="7"/>
  <c r="I118" i="7"/>
  <c r="G118" i="7"/>
  <c r="F118" i="7"/>
  <c r="E118" i="7"/>
  <c r="D118" i="7"/>
  <c r="A118" i="7"/>
  <c r="B118" i="7"/>
  <c r="I134" i="7"/>
  <c r="H134" i="7"/>
  <c r="G134" i="7"/>
  <c r="F134" i="7"/>
  <c r="E134" i="7"/>
  <c r="D134" i="7"/>
  <c r="C134" i="7"/>
  <c r="B134" i="7"/>
  <c r="A134" i="7"/>
  <c r="B166" i="7"/>
  <c r="A166" i="7"/>
  <c r="I166" i="7"/>
  <c r="G166" i="7"/>
  <c r="E166" i="7"/>
  <c r="D166" i="7"/>
  <c r="C166" i="7"/>
  <c r="H166" i="7"/>
  <c r="F166" i="7"/>
  <c r="I182" i="7"/>
  <c r="G182" i="7"/>
  <c r="D182" i="7"/>
  <c r="A182" i="7"/>
  <c r="B182" i="7"/>
  <c r="H182" i="7"/>
  <c r="F182" i="7"/>
  <c r="E182" i="7"/>
  <c r="C182" i="7"/>
  <c r="I198" i="7"/>
  <c r="G198" i="7"/>
  <c r="D198" i="7"/>
  <c r="A198" i="7"/>
  <c r="H198" i="7"/>
  <c r="F198" i="7"/>
  <c r="E198" i="7"/>
  <c r="C198" i="7"/>
  <c r="B198" i="7"/>
  <c r="I214" i="7"/>
  <c r="G214" i="7"/>
  <c r="D214" i="7"/>
  <c r="A214" i="7"/>
  <c r="H214" i="7"/>
  <c r="F214" i="7"/>
  <c r="E214" i="7"/>
  <c r="C214" i="7"/>
  <c r="B214" i="7"/>
  <c r="E121" i="7"/>
  <c r="H121" i="7"/>
  <c r="G121" i="7"/>
  <c r="F121" i="7"/>
  <c r="D121" i="7"/>
  <c r="C121" i="7"/>
  <c r="B121" i="7"/>
  <c r="A121" i="7"/>
  <c r="I121" i="7"/>
  <c r="F201" i="7"/>
  <c r="D201" i="7"/>
  <c r="A201" i="7"/>
  <c r="I201" i="7"/>
  <c r="H201" i="7"/>
  <c r="G201" i="7"/>
  <c r="E201" i="7"/>
  <c r="C201" i="7"/>
  <c r="B201" i="7"/>
  <c r="H84" i="7"/>
  <c r="F84" i="7"/>
  <c r="E84" i="7"/>
  <c r="G84" i="7"/>
  <c r="D84" i="7"/>
  <c r="C84" i="7"/>
  <c r="B84" i="7"/>
  <c r="A84" i="7"/>
  <c r="I84" i="7"/>
  <c r="I58" i="7"/>
  <c r="H58" i="7"/>
  <c r="D58" i="7"/>
  <c r="G58" i="7"/>
  <c r="F58" i="7"/>
  <c r="E58" i="7"/>
  <c r="C58" i="7"/>
  <c r="B58" i="7"/>
  <c r="A58" i="7"/>
  <c r="H21" i="7"/>
  <c r="G21" i="7"/>
  <c r="F21" i="7"/>
  <c r="E21" i="7"/>
  <c r="C21" i="7"/>
  <c r="B21" i="7"/>
  <c r="A21" i="7"/>
  <c r="I21" i="7"/>
  <c r="D21" i="7"/>
  <c r="H53" i="7"/>
  <c r="G53" i="7"/>
  <c r="F53" i="7"/>
  <c r="E53" i="7"/>
  <c r="A53" i="7"/>
  <c r="I53" i="7"/>
  <c r="D53" i="7"/>
  <c r="C53" i="7"/>
  <c r="B53" i="7"/>
  <c r="I22" i="7"/>
  <c r="H22" i="7"/>
  <c r="F22" i="7"/>
  <c r="E22" i="7"/>
  <c r="D22" i="7"/>
  <c r="C22" i="7"/>
  <c r="A22" i="7"/>
  <c r="B22" i="7"/>
  <c r="G22" i="7"/>
  <c r="I70" i="7"/>
  <c r="H70" i="7"/>
  <c r="G70" i="7"/>
  <c r="F70" i="7"/>
  <c r="E70" i="7"/>
  <c r="D70" i="7"/>
  <c r="A70" i="7"/>
  <c r="C70" i="7"/>
  <c r="B70" i="7"/>
  <c r="H81" i="7"/>
  <c r="G81" i="7"/>
  <c r="F81" i="7"/>
  <c r="E81" i="7"/>
  <c r="D81" i="7"/>
  <c r="C81" i="7"/>
  <c r="B81" i="7"/>
  <c r="A81" i="7"/>
  <c r="I81" i="7"/>
  <c r="I97" i="7"/>
  <c r="H97" i="7"/>
  <c r="G97" i="7"/>
  <c r="F97" i="7"/>
  <c r="E97" i="7"/>
  <c r="A97" i="7"/>
  <c r="D97" i="7"/>
  <c r="C97" i="7"/>
  <c r="B97" i="7"/>
  <c r="E113" i="7"/>
  <c r="C113" i="7"/>
  <c r="B113" i="7"/>
  <c r="A113" i="7"/>
  <c r="I113" i="7"/>
  <c r="H113" i="7"/>
  <c r="F113" i="7"/>
  <c r="D113" i="7"/>
  <c r="G113" i="7"/>
  <c r="E129" i="7"/>
  <c r="A129" i="7"/>
  <c r="B129" i="7"/>
  <c r="I129" i="7"/>
  <c r="H129" i="7"/>
  <c r="G129" i="7"/>
  <c r="D129" i="7"/>
  <c r="C129" i="7"/>
  <c r="F129" i="7"/>
  <c r="F145" i="7"/>
  <c r="E145" i="7"/>
  <c r="D145" i="7"/>
  <c r="C145" i="7"/>
  <c r="B145" i="7"/>
  <c r="A145" i="7"/>
  <c r="I145" i="7"/>
  <c r="H145" i="7"/>
  <c r="G145" i="7"/>
  <c r="F161" i="7"/>
  <c r="I161" i="7"/>
  <c r="H161" i="7"/>
  <c r="G161" i="7"/>
  <c r="E161" i="7"/>
  <c r="D161" i="7"/>
  <c r="C161" i="7"/>
  <c r="B161" i="7"/>
  <c r="A161" i="7"/>
  <c r="F177" i="7"/>
  <c r="D177" i="7"/>
  <c r="A177" i="7"/>
  <c r="H177" i="7"/>
  <c r="G177" i="7"/>
  <c r="E177" i="7"/>
  <c r="I177" i="7"/>
  <c r="C177" i="7"/>
  <c r="B177" i="7"/>
  <c r="F193" i="7"/>
  <c r="D193" i="7"/>
  <c r="A193" i="7"/>
  <c r="G193" i="7"/>
  <c r="E193" i="7"/>
  <c r="C193" i="7"/>
  <c r="B193" i="7"/>
  <c r="I193" i="7"/>
  <c r="H193" i="7"/>
  <c r="F209" i="7"/>
  <c r="D209" i="7"/>
  <c r="A209" i="7"/>
  <c r="I209" i="7"/>
  <c r="H209" i="7"/>
  <c r="G209" i="7"/>
  <c r="E209" i="7"/>
  <c r="C209" i="7"/>
  <c r="B209" i="7"/>
  <c r="I85" i="7"/>
  <c r="H85" i="7"/>
  <c r="B85" i="7"/>
  <c r="A85" i="7"/>
  <c r="G85" i="7"/>
  <c r="D85" i="7"/>
  <c r="C85" i="7"/>
  <c r="F85" i="7"/>
  <c r="E85" i="7"/>
  <c r="I54" i="7"/>
  <c r="H54" i="7"/>
  <c r="D54" i="7"/>
  <c r="G54" i="7"/>
  <c r="F54" i="7"/>
  <c r="E54" i="7"/>
  <c r="C54" i="7"/>
  <c r="A54" i="7"/>
  <c r="B54" i="7"/>
  <c r="G17" i="7"/>
  <c r="F17" i="7"/>
  <c r="E17" i="7"/>
  <c r="A17" i="7"/>
  <c r="I17" i="7"/>
  <c r="H17" i="7"/>
  <c r="D17" i="7"/>
  <c r="C17" i="7"/>
  <c r="B17" i="7"/>
  <c r="H33" i="7"/>
  <c r="G33" i="7"/>
  <c r="F33" i="7"/>
  <c r="E33" i="7"/>
  <c r="D33" i="7"/>
  <c r="C33" i="7"/>
  <c r="B33" i="7"/>
  <c r="A33" i="7"/>
  <c r="I33" i="7"/>
  <c r="H65" i="7"/>
  <c r="G65" i="7"/>
  <c r="F65" i="7"/>
  <c r="E65" i="7"/>
  <c r="D65" i="7"/>
  <c r="C65" i="7"/>
  <c r="B65" i="7"/>
  <c r="A65" i="7"/>
  <c r="I65" i="7"/>
  <c r="I12" i="7"/>
  <c r="H12" i="7"/>
  <c r="G12" i="7"/>
  <c r="F12" i="7"/>
  <c r="E12" i="7"/>
  <c r="D12" i="7"/>
  <c r="C12" i="7"/>
  <c r="B12" i="7"/>
  <c r="A12" i="7"/>
  <c r="E28" i="7"/>
  <c r="D28" i="7"/>
  <c r="C28" i="7"/>
  <c r="B28" i="7"/>
  <c r="I28" i="7"/>
  <c r="G28" i="7"/>
  <c r="F28" i="7"/>
  <c r="A28" i="7"/>
  <c r="H28" i="7"/>
  <c r="E44" i="7"/>
  <c r="C44" i="7"/>
  <c r="G44" i="7"/>
  <c r="F44" i="7"/>
  <c r="D44" i="7"/>
  <c r="B44" i="7"/>
  <c r="A44" i="7"/>
  <c r="I44" i="7"/>
  <c r="H44" i="7"/>
  <c r="E60" i="7"/>
  <c r="D60" i="7"/>
  <c r="C60" i="7"/>
  <c r="B60" i="7"/>
  <c r="I60" i="7"/>
  <c r="H60" i="7"/>
  <c r="G60" i="7"/>
  <c r="F60" i="7"/>
  <c r="A60" i="7"/>
  <c r="E76" i="7"/>
  <c r="D76" i="7"/>
  <c r="C76" i="7"/>
  <c r="B76" i="7"/>
  <c r="A76" i="7"/>
  <c r="G76" i="7"/>
  <c r="F76" i="7"/>
  <c r="I76" i="7"/>
  <c r="H76" i="7"/>
  <c r="H92" i="7"/>
  <c r="G92" i="7"/>
  <c r="F92" i="7"/>
  <c r="E92" i="7"/>
  <c r="D92" i="7"/>
  <c r="C92" i="7"/>
  <c r="A92" i="7"/>
  <c r="I92" i="7"/>
  <c r="B92" i="7"/>
  <c r="H108" i="7"/>
  <c r="G108" i="7"/>
  <c r="F108" i="7"/>
  <c r="E108" i="7"/>
  <c r="D108" i="7"/>
  <c r="C108" i="7"/>
  <c r="B108" i="7"/>
  <c r="A108" i="7"/>
  <c r="I108" i="7"/>
  <c r="B124" i="7"/>
  <c r="I124" i="7"/>
  <c r="C124" i="7"/>
  <c r="A124" i="7"/>
  <c r="H124" i="7"/>
  <c r="G124" i="7"/>
  <c r="E124" i="7"/>
  <c r="F124" i="7"/>
  <c r="D124" i="7"/>
  <c r="C140" i="7"/>
  <c r="B140" i="7"/>
  <c r="A140" i="7"/>
  <c r="I140" i="7"/>
  <c r="H140" i="7"/>
  <c r="G140" i="7"/>
  <c r="F140" i="7"/>
  <c r="E140" i="7"/>
  <c r="D140" i="7"/>
  <c r="D156" i="7"/>
  <c r="C156" i="7"/>
  <c r="B156" i="7"/>
  <c r="A156" i="7"/>
  <c r="I156" i="7"/>
  <c r="H156" i="7"/>
  <c r="G156" i="7"/>
  <c r="F156" i="7"/>
  <c r="E156" i="7"/>
  <c r="I172" i="7"/>
  <c r="H172" i="7"/>
  <c r="G172" i="7"/>
  <c r="C172" i="7"/>
  <c r="B172" i="7"/>
  <c r="A172" i="7"/>
  <c r="F172" i="7"/>
  <c r="E172" i="7"/>
  <c r="D172" i="7"/>
  <c r="C188" i="7"/>
  <c r="A188" i="7"/>
  <c r="G188" i="7"/>
  <c r="B188" i="7"/>
  <c r="I188" i="7"/>
  <c r="H188" i="7"/>
  <c r="E188" i="7"/>
  <c r="D188" i="7"/>
  <c r="F188" i="7"/>
  <c r="C204" i="7"/>
  <c r="A204" i="7"/>
  <c r="G204" i="7"/>
  <c r="I204" i="7"/>
  <c r="H204" i="7"/>
  <c r="F204" i="7"/>
  <c r="E204" i="7"/>
  <c r="D204" i="7"/>
  <c r="B204" i="7"/>
  <c r="C220" i="7"/>
  <c r="A220" i="7"/>
  <c r="G220" i="7"/>
  <c r="I220" i="7"/>
  <c r="H220" i="7"/>
  <c r="F220" i="7"/>
  <c r="E220" i="7"/>
  <c r="D220" i="7"/>
  <c r="B220" i="7"/>
  <c r="H49" i="7"/>
  <c r="G49" i="7"/>
  <c r="F49" i="7"/>
  <c r="E49" i="7"/>
  <c r="I49" i="7"/>
  <c r="D49" i="7"/>
  <c r="C49" i="7"/>
  <c r="B49" i="7"/>
  <c r="A49" i="7"/>
  <c r="I18" i="7"/>
  <c r="H18" i="7"/>
  <c r="F18" i="7"/>
  <c r="E18" i="7"/>
  <c r="D18" i="7"/>
  <c r="C18" i="7"/>
  <c r="A18" i="7"/>
  <c r="G18" i="7"/>
  <c r="B18" i="7"/>
  <c r="I34" i="7"/>
  <c r="H34" i="7"/>
  <c r="G34" i="7"/>
  <c r="F34" i="7"/>
  <c r="E34" i="7"/>
  <c r="D34" i="7"/>
  <c r="C34" i="7"/>
  <c r="A34" i="7"/>
  <c r="B34" i="7"/>
  <c r="I50" i="7"/>
  <c r="H50" i="7"/>
  <c r="D50" i="7"/>
  <c r="C50" i="7"/>
  <c r="B50" i="7"/>
  <c r="A50" i="7"/>
  <c r="F50" i="7"/>
  <c r="E50" i="7"/>
  <c r="G50" i="7"/>
  <c r="I66" i="7"/>
  <c r="H66" i="7"/>
  <c r="G66" i="7"/>
  <c r="F66" i="7"/>
  <c r="E66" i="7"/>
  <c r="D66" i="7"/>
  <c r="A66" i="7"/>
  <c r="C66" i="7"/>
  <c r="B66" i="7"/>
  <c r="B82" i="7"/>
  <c r="A82" i="7"/>
  <c r="I82" i="7"/>
  <c r="H82" i="7"/>
  <c r="G82" i="7"/>
  <c r="D82" i="7"/>
  <c r="C82" i="7"/>
  <c r="F82" i="7"/>
  <c r="E82" i="7"/>
  <c r="B98" i="7"/>
  <c r="A98" i="7"/>
  <c r="I98" i="7"/>
  <c r="H98" i="7"/>
  <c r="G98" i="7"/>
  <c r="F98" i="7"/>
  <c r="D98" i="7"/>
  <c r="E98" i="7"/>
  <c r="C98" i="7"/>
  <c r="H114" i="7"/>
  <c r="C114" i="7"/>
  <c r="I114" i="7"/>
  <c r="G114" i="7"/>
  <c r="F114" i="7"/>
  <c r="E114" i="7"/>
  <c r="D114" i="7"/>
  <c r="B114" i="7"/>
  <c r="A114" i="7"/>
  <c r="H130" i="7"/>
  <c r="D130" i="7"/>
  <c r="C130" i="7"/>
  <c r="A130" i="7"/>
  <c r="I130" i="7"/>
  <c r="G130" i="7"/>
  <c r="F130" i="7"/>
  <c r="E130" i="7"/>
  <c r="B130" i="7"/>
  <c r="I146" i="7"/>
  <c r="H146" i="7"/>
  <c r="G146" i="7"/>
  <c r="F146" i="7"/>
  <c r="E146" i="7"/>
  <c r="D146" i="7"/>
  <c r="C146" i="7"/>
  <c r="B146" i="7"/>
  <c r="A146" i="7"/>
  <c r="B162" i="7"/>
  <c r="A162" i="7"/>
  <c r="I162" i="7"/>
  <c r="F162" i="7"/>
  <c r="E162" i="7"/>
  <c r="D162" i="7"/>
  <c r="C162" i="7"/>
  <c r="H162" i="7"/>
  <c r="G162" i="7"/>
  <c r="I178" i="7"/>
  <c r="G178" i="7"/>
  <c r="D178" i="7"/>
  <c r="A178" i="7"/>
  <c r="E178" i="7"/>
  <c r="C178" i="7"/>
  <c r="B178" i="7"/>
  <c r="H178" i="7"/>
  <c r="F178" i="7"/>
  <c r="I194" i="7"/>
  <c r="G194" i="7"/>
  <c r="D194" i="7"/>
  <c r="A194" i="7"/>
  <c r="C194" i="7"/>
  <c r="B194" i="7"/>
  <c r="H194" i="7"/>
  <c r="F194" i="7"/>
  <c r="E194" i="7"/>
  <c r="I210" i="7"/>
  <c r="G210" i="7"/>
  <c r="D210" i="7"/>
  <c r="A210" i="7"/>
  <c r="H210" i="7"/>
  <c r="F210" i="7"/>
  <c r="E210" i="7"/>
  <c r="C210" i="7"/>
  <c r="B210" i="7"/>
  <c r="B47" i="7"/>
  <c r="A47" i="7"/>
  <c r="I47" i="7"/>
  <c r="H47" i="7"/>
  <c r="G47" i="7"/>
  <c r="F47" i="7"/>
  <c r="D47" i="7"/>
  <c r="E99" i="7"/>
  <c r="D99" i="7"/>
  <c r="C99" i="7"/>
  <c r="B99" i="7"/>
  <c r="A99" i="7"/>
  <c r="I99" i="7"/>
  <c r="G99" i="7"/>
  <c r="F99" i="7"/>
  <c r="H99" i="7"/>
  <c r="A147" i="7"/>
  <c r="I147" i="7"/>
  <c r="H147" i="7"/>
  <c r="G147" i="7"/>
  <c r="F147" i="7"/>
  <c r="E147" i="7"/>
  <c r="D147" i="7"/>
  <c r="C147" i="7"/>
  <c r="B147" i="7"/>
  <c r="G183" i="7"/>
  <c r="D183" i="7"/>
  <c r="H183" i="7"/>
  <c r="F183" i="7"/>
  <c r="E183" i="7"/>
  <c r="B183" i="7"/>
  <c r="A183" i="7"/>
  <c r="I183" i="7"/>
  <c r="C183" i="7"/>
  <c r="I7" i="7"/>
  <c r="G7" i="7"/>
  <c r="G11" i="7"/>
  <c r="B23" i="7"/>
  <c r="A23" i="7"/>
  <c r="I23" i="7"/>
  <c r="H23" i="7"/>
  <c r="G23" i="7"/>
  <c r="F23" i="7"/>
  <c r="D23" i="7"/>
  <c r="B71" i="7"/>
  <c r="A71" i="7"/>
  <c r="I71" i="7"/>
  <c r="H71" i="7"/>
  <c r="G71" i="7"/>
  <c r="D71" i="7"/>
  <c r="C71" i="7"/>
  <c r="F71" i="7"/>
  <c r="E71" i="7"/>
  <c r="I135" i="7"/>
  <c r="H135" i="7"/>
  <c r="G135" i="7"/>
  <c r="F135" i="7"/>
  <c r="E135" i="7"/>
  <c r="D135" i="7"/>
  <c r="C135" i="7"/>
  <c r="B135" i="7"/>
  <c r="A135" i="7"/>
  <c r="G207" i="7"/>
  <c r="D207" i="7"/>
  <c r="A207" i="7"/>
  <c r="I207" i="7"/>
  <c r="H207" i="7"/>
  <c r="F207" i="7"/>
  <c r="E207" i="7"/>
  <c r="C207" i="7"/>
  <c r="B207" i="7"/>
  <c r="H7" i="7"/>
  <c r="H11" i="7"/>
  <c r="C31" i="7"/>
  <c r="B27" i="7"/>
  <c r="A27" i="7"/>
  <c r="I27" i="7"/>
  <c r="H27" i="7"/>
  <c r="G27" i="7"/>
  <c r="F27" i="7"/>
  <c r="D27" i="7"/>
  <c r="B59" i="7"/>
  <c r="A59" i="7"/>
  <c r="G59" i="7"/>
  <c r="I59" i="7"/>
  <c r="H59" i="7"/>
  <c r="F59" i="7"/>
  <c r="E59" i="7"/>
  <c r="D59" i="7"/>
  <c r="C59" i="7"/>
  <c r="E83" i="7"/>
  <c r="C83" i="7"/>
  <c r="B83" i="7"/>
  <c r="I83" i="7"/>
  <c r="H83" i="7"/>
  <c r="G83" i="7"/>
  <c r="F83" i="7"/>
  <c r="D83" i="7"/>
  <c r="A83" i="7"/>
  <c r="F115" i="7"/>
  <c r="D115" i="7"/>
  <c r="C115" i="7"/>
  <c r="B115" i="7"/>
  <c r="A115" i="7"/>
  <c r="I115" i="7"/>
  <c r="G115" i="7"/>
  <c r="H115" i="7"/>
  <c r="E115" i="7"/>
  <c r="E163" i="7"/>
  <c r="D163" i="7"/>
  <c r="A163" i="7"/>
  <c r="I163" i="7"/>
  <c r="H163" i="7"/>
  <c r="G163" i="7"/>
  <c r="F163" i="7"/>
  <c r="C163" i="7"/>
  <c r="B163" i="7"/>
  <c r="G199" i="7"/>
  <c r="D199" i="7"/>
  <c r="F199" i="7"/>
  <c r="E199" i="7"/>
  <c r="C199" i="7"/>
  <c r="B199" i="7"/>
  <c r="I199" i="7"/>
  <c r="H199" i="7"/>
  <c r="A199" i="7"/>
  <c r="B15" i="7"/>
  <c r="E35" i="7"/>
  <c r="B39" i="7"/>
  <c r="A39" i="7"/>
  <c r="I39" i="7"/>
  <c r="H39" i="7"/>
  <c r="G39" i="7"/>
  <c r="F39" i="7"/>
  <c r="D39" i="7"/>
  <c r="E91" i="7"/>
  <c r="C91" i="7"/>
  <c r="B91" i="7"/>
  <c r="D91" i="7"/>
  <c r="A91" i="7"/>
  <c r="G91" i="7"/>
  <c r="F91" i="7"/>
  <c r="I91" i="7"/>
  <c r="H91" i="7"/>
  <c r="I139" i="7"/>
  <c r="H139" i="7"/>
  <c r="G139" i="7"/>
  <c r="F139" i="7"/>
  <c r="E139" i="7"/>
  <c r="D139" i="7"/>
  <c r="C139" i="7"/>
  <c r="B139" i="7"/>
  <c r="A139" i="7"/>
  <c r="G195" i="7"/>
  <c r="D195" i="7"/>
  <c r="A195" i="7"/>
  <c r="I195" i="7"/>
  <c r="H195" i="7"/>
  <c r="F195" i="7"/>
  <c r="E195" i="7"/>
  <c r="C195" i="7"/>
  <c r="B195" i="7"/>
  <c r="C15" i="7"/>
  <c r="C27" i="7"/>
  <c r="C39" i="7"/>
  <c r="D51" i="7"/>
  <c r="B67" i="7"/>
  <c r="A67" i="7"/>
  <c r="I67" i="7"/>
  <c r="H67" i="7"/>
  <c r="G67" i="7"/>
  <c r="D67" i="7"/>
  <c r="C67" i="7"/>
  <c r="F67" i="7"/>
  <c r="E67" i="7"/>
  <c r="F127" i="7"/>
  <c r="I127" i="7"/>
  <c r="H127" i="7"/>
  <c r="G127" i="7"/>
  <c r="E127" i="7"/>
  <c r="D127" i="7"/>
  <c r="C127" i="7"/>
  <c r="B127" i="7"/>
  <c r="A127" i="7"/>
  <c r="G187" i="7"/>
  <c r="D187" i="7"/>
  <c r="E187" i="7"/>
  <c r="C187" i="7"/>
  <c r="B187" i="7"/>
  <c r="I187" i="7"/>
  <c r="H187" i="7"/>
  <c r="F187" i="7"/>
  <c r="A187" i="7"/>
  <c r="A7" i="7"/>
  <c r="A11" i="7"/>
  <c r="E27" i="7"/>
  <c r="E39" i="7"/>
  <c r="A15" i="7"/>
  <c r="F15" i="7"/>
  <c r="B43" i="7"/>
  <c r="A43" i="7"/>
  <c r="I43" i="7"/>
  <c r="H43" i="7"/>
  <c r="G43" i="7"/>
  <c r="F43" i="7"/>
  <c r="D43" i="7"/>
  <c r="E87" i="7"/>
  <c r="C87" i="7"/>
  <c r="B87" i="7"/>
  <c r="H87" i="7"/>
  <c r="G87" i="7"/>
  <c r="F87" i="7"/>
  <c r="D87" i="7"/>
  <c r="A87" i="7"/>
  <c r="I87" i="7"/>
  <c r="F123" i="7"/>
  <c r="I123" i="7"/>
  <c r="H123" i="7"/>
  <c r="G123" i="7"/>
  <c r="E123" i="7"/>
  <c r="D123" i="7"/>
  <c r="C123" i="7"/>
  <c r="B123" i="7"/>
  <c r="A123" i="7"/>
  <c r="E167" i="7"/>
  <c r="D167" i="7"/>
  <c r="B167" i="7"/>
  <c r="A167" i="7"/>
  <c r="I167" i="7"/>
  <c r="H167" i="7"/>
  <c r="G167" i="7"/>
  <c r="F167" i="7"/>
  <c r="C167" i="7"/>
  <c r="G191" i="7"/>
  <c r="D191" i="7"/>
  <c r="I191" i="7"/>
  <c r="H191" i="7"/>
  <c r="B191" i="7"/>
  <c r="A191" i="7"/>
  <c r="F191" i="7"/>
  <c r="E191" i="7"/>
  <c r="C191" i="7"/>
  <c r="I11" i="7"/>
  <c r="B7" i="7"/>
  <c r="B11" i="7"/>
  <c r="E15" i="7"/>
  <c r="C43" i="7"/>
  <c r="C47" i="7"/>
  <c r="B63" i="7"/>
  <c r="A63" i="7"/>
  <c r="I63" i="7"/>
  <c r="H63" i="7"/>
  <c r="G63" i="7"/>
  <c r="D63" i="7"/>
  <c r="C63" i="7"/>
  <c r="F63" i="7"/>
  <c r="E63" i="7"/>
  <c r="E111" i="7"/>
  <c r="D111" i="7"/>
  <c r="C111" i="7"/>
  <c r="B111" i="7"/>
  <c r="A111" i="7"/>
  <c r="I111" i="7"/>
  <c r="G111" i="7"/>
  <c r="H111" i="7"/>
  <c r="F111" i="7"/>
  <c r="A151" i="7"/>
  <c r="I151" i="7"/>
  <c r="H151" i="7"/>
  <c r="G151" i="7"/>
  <c r="F151" i="7"/>
  <c r="E151" i="7"/>
  <c r="D151" i="7"/>
  <c r="C151" i="7"/>
  <c r="B151" i="7"/>
  <c r="G203" i="7"/>
  <c r="D203" i="7"/>
  <c r="I203" i="7"/>
  <c r="H203" i="7"/>
  <c r="F203" i="7"/>
  <c r="E203" i="7"/>
  <c r="C203" i="7"/>
  <c r="B203" i="7"/>
  <c r="A203" i="7"/>
  <c r="C7" i="7"/>
  <c r="C11" i="7"/>
  <c r="G15" i="7"/>
  <c r="C23" i="7"/>
  <c r="E43" i="7"/>
  <c r="E47" i="7"/>
  <c r="B35" i="7"/>
  <c r="A35" i="7"/>
  <c r="I35" i="7"/>
  <c r="H35" i="7"/>
  <c r="G35" i="7"/>
  <c r="F35" i="7"/>
  <c r="D35" i="7"/>
  <c r="B75" i="7"/>
  <c r="A75" i="7"/>
  <c r="I75" i="7"/>
  <c r="H75" i="7"/>
  <c r="G75" i="7"/>
  <c r="D75" i="7"/>
  <c r="C75" i="7"/>
  <c r="F75" i="7"/>
  <c r="E75" i="7"/>
  <c r="E107" i="7"/>
  <c r="D107" i="7"/>
  <c r="C107" i="7"/>
  <c r="B107" i="7"/>
  <c r="A107" i="7"/>
  <c r="I107" i="7"/>
  <c r="G107" i="7"/>
  <c r="H107" i="7"/>
  <c r="F107" i="7"/>
  <c r="I143" i="7"/>
  <c r="H143" i="7"/>
  <c r="G143" i="7"/>
  <c r="F143" i="7"/>
  <c r="E143" i="7"/>
  <c r="D143" i="7"/>
  <c r="C143" i="7"/>
  <c r="B143" i="7"/>
  <c r="A143" i="7"/>
  <c r="F171" i="7"/>
  <c r="E171" i="7"/>
  <c r="D171" i="7"/>
  <c r="H171" i="7"/>
  <c r="G171" i="7"/>
  <c r="C171" i="7"/>
  <c r="B171" i="7"/>
  <c r="A171" i="7"/>
  <c r="I171" i="7"/>
  <c r="G211" i="7"/>
  <c r="D211" i="7"/>
  <c r="F211" i="7"/>
  <c r="E211" i="7"/>
  <c r="C211" i="7"/>
  <c r="B211" i="7"/>
  <c r="A211" i="7"/>
  <c r="I211" i="7"/>
  <c r="H211" i="7"/>
  <c r="B4" i="8"/>
  <c r="E13" i="8"/>
  <c r="E14" i="8"/>
  <c r="E15" i="8"/>
  <c r="D7" i="7"/>
  <c r="D11" i="7"/>
  <c r="H15" i="7"/>
  <c r="E23" i="7"/>
  <c r="B31" i="7"/>
  <c r="A31" i="7"/>
  <c r="I31" i="7"/>
  <c r="H31" i="7"/>
  <c r="G31" i="7"/>
  <c r="F31" i="7"/>
  <c r="D31" i="7"/>
  <c r="B51" i="7"/>
  <c r="A51" i="7"/>
  <c r="C51" i="7"/>
  <c r="I51" i="7"/>
  <c r="H51" i="7"/>
  <c r="G51" i="7"/>
  <c r="E51" i="7"/>
  <c r="B79" i="7"/>
  <c r="A79" i="7"/>
  <c r="I79" i="7"/>
  <c r="H79" i="7"/>
  <c r="G79" i="7"/>
  <c r="D79" i="7"/>
  <c r="C79" i="7"/>
  <c r="F79" i="7"/>
  <c r="E103" i="7"/>
  <c r="D103" i="7"/>
  <c r="C103" i="7"/>
  <c r="B103" i="7"/>
  <c r="A103" i="7"/>
  <c r="I103" i="7"/>
  <c r="G103" i="7"/>
  <c r="H103" i="7"/>
  <c r="F103" i="7"/>
  <c r="G131" i="7"/>
  <c r="F131" i="7"/>
  <c r="D131" i="7"/>
  <c r="I131" i="7"/>
  <c r="H131" i="7"/>
  <c r="E131" i="7"/>
  <c r="C131" i="7"/>
  <c r="B131" i="7"/>
  <c r="A131" i="7"/>
  <c r="E159" i="7"/>
  <c r="D159" i="7"/>
  <c r="F159" i="7"/>
  <c r="C159" i="7"/>
  <c r="B159" i="7"/>
  <c r="A159" i="7"/>
  <c r="I159" i="7"/>
  <c r="H159" i="7"/>
  <c r="G159" i="7"/>
  <c r="G179" i="7"/>
  <c r="D179" i="7"/>
  <c r="I179" i="7"/>
  <c r="H179" i="7"/>
  <c r="B179" i="7"/>
  <c r="A179" i="7"/>
  <c r="F179" i="7"/>
  <c r="E179" i="7"/>
  <c r="C179" i="7"/>
  <c r="G219" i="7"/>
  <c r="D219" i="7"/>
  <c r="A219" i="7"/>
  <c r="I219" i="7"/>
  <c r="H219" i="7"/>
  <c r="F219" i="7"/>
  <c r="E219" i="7"/>
  <c r="C219" i="7"/>
  <c r="B219" i="7"/>
  <c r="E79" i="7"/>
  <c r="E7" i="7"/>
  <c r="E11" i="7"/>
  <c r="I15" i="7"/>
  <c r="B19" i="7"/>
  <c r="A19" i="7"/>
  <c r="I19" i="7"/>
  <c r="H19" i="7"/>
  <c r="G19" i="7"/>
  <c r="F19" i="7"/>
  <c r="D19" i="7"/>
  <c r="B55" i="7"/>
  <c r="A55" i="7"/>
  <c r="G55" i="7"/>
  <c r="I55" i="7"/>
  <c r="H55" i="7"/>
  <c r="F55" i="7"/>
  <c r="E55" i="7"/>
  <c r="D55" i="7"/>
  <c r="E95" i="7"/>
  <c r="D95" i="7"/>
  <c r="C95" i="7"/>
  <c r="B95" i="7"/>
  <c r="A95" i="7"/>
  <c r="G95" i="7"/>
  <c r="I95" i="7"/>
  <c r="H95" i="7"/>
  <c r="F95" i="7"/>
  <c r="F119" i="7"/>
  <c r="G119" i="7"/>
  <c r="E119" i="7"/>
  <c r="D119" i="7"/>
  <c r="C119" i="7"/>
  <c r="B119" i="7"/>
  <c r="A119" i="7"/>
  <c r="I119" i="7"/>
  <c r="H119" i="7"/>
  <c r="A155" i="7"/>
  <c r="I155" i="7"/>
  <c r="H155" i="7"/>
  <c r="G155" i="7"/>
  <c r="F155" i="7"/>
  <c r="E155" i="7"/>
  <c r="D155" i="7"/>
  <c r="C155" i="7"/>
  <c r="B155" i="7"/>
  <c r="G175" i="7"/>
  <c r="F175" i="7"/>
  <c r="E175" i="7"/>
  <c r="D175" i="7"/>
  <c r="I175" i="7"/>
  <c r="H175" i="7"/>
  <c r="C175" i="7"/>
  <c r="B175" i="7"/>
  <c r="A175" i="7"/>
  <c r="G215" i="7"/>
  <c r="D215" i="7"/>
  <c r="I215" i="7"/>
  <c r="H215" i="7"/>
  <c r="F215" i="7"/>
  <c r="E215" i="7"/>
  <c r="C215" i="7"/>
  <c r="B215" i="7"/>
  <c r="A215" i="7"/>
  <c r="W6" i="3"/>
  <c r="W6" i="4"/>
  <c r="W6" i="5"/>
  <c r="C19" i="7"/>
  <c r="AB95" i="7" l="1"/>
  <c r="W95" i="7"/>
  <c r="R95" i="7"/>
  <c r="O95" i="7"/>
  <c r="M95" i="7"/>
  <c r="L95" i="7"/>
  <c r="K95" i="7"/>
  <c r="AD95" i="7"/>
  <c r="AH95" i="7"/>
  <c r="AG95" i="7"/>
  <c r="AC95" i="7"/>
  <c r="J95" i="7"/>
  <c r="AC209" i="7"/>
  <c r="W209" i="7"/>
  <c r="M209" i="7"/>
  <c r="J209" i="7"/>
  <c r="L209" i="7"/>
  <c r="K209" i="7"/>
  <c r="AH209" i="7"/>
  <c r="AG209" i="7"/>
  <c r="AD209" i="7"/>
  <c r="AB209" i="7"/>
  <c r="R209" i="7"/>
  <c r="O209" i="7"/>
  <c r="K97" i="7"/>
  <c r="J97" i="7"/>
  <c r="AH97" i="7"/>
  <c r="AG97" i="7"/>
  <c r="AD97" i="7"/>
  <c r="AC97" i="7"/>
  <c r="AB97" i="7"/>
  <c r="R97" i="7"/>
  <c r="M97" i="7"/>
  <c r="W97" i="7"/>
  <c r="O97" i="7"/>
  <c r="L97" i="7"/>
  <c r="AC181" i="7"/>
  <c r="W181" i="7"/>
  <c r="M181" i="7"/>
  <c r="J181" i="7"/>
  <c r="AH181" i="7"/>
  <c r="AG181" i="7"/>
  <c r="O181" i="7"/>
  <c r="L181" i="7"/>
  <c r="K181" i="7"/>
  <c r="AD181" i="7"/>
  <c r="AB181" i="7"/>
  <c r="R181" i="7"/>
  <c r="AC133" i="7"/>
  <c r="AB133" i="7"/>
  <c r="W133" i="7"/>
  <c r="R133" i="7"/>
  <c r="O133" i="7"/>
  <c r="M133" i="7"/>
  <c r="L133" i="7"/>
  <c r="K133" i="7"/>
  <c r="J133" i="7"/>
  <c r="AH133" i="7"/>
  <c r="AD133" i="7"/>
  <c r="AG133" i="7"/>
  <c r="AH142" i="7"/>
  <c r="AG142" i="7"/>
  <c r="AD142" i="7"/>
  <c r="AC142" i="7"/>
  <c r="AB142" i="7"/>
  <c r="W142" i="7"/>
  <c r="R142" i="7"/>
  <c r="O142" i="7"/>
  <c r="M142" i="7"/>
  <c r="L142" i="7"/>
  <c r="K142" i="7"/>
  <c r="J142" i="7"/>
  <c r="J14" i="7"/>
  <c r="AH14" i="7"/>
  <c r="AG14" i="7"/>
  <c r="R14" i="7"/>
  <c r="O14" i="7"/>
  <c r="M14" i="7"/>
  <c r="L14" i="7"/>
  <c r="K14" i="7"/>
  <c r="AC14" i="7"/>
  <c r="AB14" i="7"/>
  <c r="W14" i="7"/>
  <c r="AD14" i="7"/>
  <c r="K62" i="7"/>
  <c r="J62" i="7"/>
  <c r="AH62" i="7"/>
  <c r="AG62" i="7"/>
  <c r="W62" i="7"/>
  <c r="O62" i="7"/>
  <c r="M62" i="7"/>
  <c r="L62" i="7"/>
  <c r="AD62" i="7"/>
  <c r="AB62" i="7"/>
  <c r="AC62" i="7"/>
  <c r="R62" i="7"/>
  <c r="AB20" i="7"/>
  <c r="W20" i="7"/>
  <c r="R20" i="7"/>
  <c r="O20" i="7"/>
  <c r="L20" i="7"/>
  <c r="K20" i="7"/>
  <c r="J20" i="7"/>
  <c r="AH20" i="7"/>
  <c r="AD20" i="7"/>
  <c r="AG20" i="7"/>
  <c r="AC20" i="7"/>
  <c r="M20" i="7"/>
  <c r="AC205" i="7"/>
  <c r="W205" i="7"/>
  <c r="M205" i="7"/>
  <c r="J205" i="7"/>
  <c r="AH205" i="7"/>
  <c r="AG205" i="7"/>
  <c r="AD205" i="7"/>
  <c r="AB205" i="7"/>
  <c r="R205" i="7"/>
  <c r="O205" i="7"/>
  <c r="L205" i="7"/>
  <c r="K205" i="7"/>
  <c r="L173" i="7"/>
  <c r="K173" i="7"/>
  <c r="J173" i="7"/>
  <c r="AC173" i="7"/>
  <c r="AB173" i="7"/>
  <c r="W173" i="7"/>
  <c r="O173" i="7"/>
  <c r="M173" i="7"/>
  <c r="AH173" i="7"/>
  <c r="AG173" i="7"/>
  <c r="AD173" i="7"/>
  <c r="R173" i="7"/>
  <c r="AG69" i="7"/>
  <c r="AD69" i="7"/>
  <c r="AC69" i="7"/>
  <c r="AB69" i="7"/>
  <c r="W69" i="7"/>
  <c r="R69" i="7"/>
  <c r="O69" i="7"/>
  <c r="M69" i="7"/>
  <c r="J69" i="7"/>
  <c r="AH69" i="7"/>
  <c r="L69" i="7"/>
  <c r="K69" i="7"/>
  <c r="O94" i="7"/>
  <c r="M94" i="7"/>
  <c r="L94" i="7"/>
  <c r="K94" i="7"/>
  <c r="J94" i="7"/>
  <c r="AH94" i="7"/>
  <c r="AG94" i="7"/>
  <c r="W94" i="7"/>
  <c r="AB94" i="7"/>
  <c r="R94" i="7"/>
  <c r="AD94" i="7"/>
  <c r="AC94" i="7"/>
  <c r="L169" i="7"/>
  <c r="K169" i="7"/>
  <c r="J169" i="7"/>
  <c r="AC169" i="7"/>
  <c r="AB169" i="7"/>
  <c r="W169" i="7"/>
  <c r="AH169" i="7"/>
  <c r="AG169" i="7"/>
  <c r="AD169" i="7"/>
  <c r="R169" i="7"/>
  <c r="O169" i="7"/>
  <c r="M169" i="7"/>
  <c r="R180" i="7"/>
  <c r="M180" i="7"/>
  <c r="J180" i="7"/>
  <c r="AD180" i="7"/>
  <c r="AB180" i="7"/>
  <c r="W180" i="7"/>
  <c r="O180" i="7"/>
  <c r="AH180" i="7"/>
  <c r="AG180" i="7"/>
  <c r="AC180" i="7"/>
  <c r="L180" i="7"/>
  <c r="K180" i="7"/>
  <c r="K109" i="7"/>
  <c r="J109" i="7"/>
  <c r="AH109" i="7"/>
  <c r="AG109" i="7"/>
  <c r="AD109" i="7"/>
  <c r="AC109" i="7"/>
  <c r="AB109" i="7"/>
  <c r="W109" i="7"/>
  <c r="R109" i="7"/>
  <c r="M109" i="7"/>
  <c r="L109" i="7"/>
  <c r="O109" i="7"/>
  <c r="O124" i="7"/>
  <c r="AH124" i="7"/>
  <c r="AB124" i="7"/>
  <c r="W124" i="7"/>
  <c r="R124" i="7"/>
  <c r="M124" i="7"/>
  <c r="L124" i="7"/>
  <c r="K124" i="7"/>
  <c r="J124" i="7"/>
  <c r="AD124" i="7"/>
  <c r="AC124" i="7"/>
  <c r="AG124" i="7"/>
  <c r="K85" i="7"/>
  <c r="AH85" i="7"/>
  <c r="AG85" i="7"/>
  <c r="AB85" i="7"/>
  <c r="W85" i="7"/>
  <c r="R85" i="7"/>
  <c r="O85" i="7"/>
  <c r="M85" i="7"/>
  <c r="L85" i="7"/>
  <c r="J85" i="7"/>
  <c r="AD85" i="7"/>
  <c r="AC85" i="7"/>
  <c r="K22" i="7"/>
  <c r="J22" i="7"/>
  <c r="AH22" i="7"/>
  <c r="AG22" i="7"/>
  <c r="AC22" i="7"/>
  <c r="AB22" i="7"/>
  <c r="W22" i="7"/>
  <c r="R22" i="7"/>
  <c r="M22" i="7"/>
  <c r="AD22" i="7"/>
  <c r="O22" i="7"/>
  <c r="L22" i="7"/>
  <c r="AH182" i="7"/>
  <c r="AD182" i="7"/>
  <c r="W182" i="7"/>
  <c r="M182" i="7"/>
  <c r="AG182" i="7"/>
  <c r="AC182" i="7"/>
  <c r="AB182" i="7"/>
  <c r="K182" i="7"/>
  <c r="J182" i="7"/>
  <c r="R182" i="7"/>
  <c r="O182" i="7"/>
  <c r="L182" i="7"/>
  <c r="O128" i="7"/>
  <c r="J128" i="7"/>
  <c r="AH128" i="7"/>
  <c r="AG128" i="7"/>
  <c r="AD128" i="7"/>
  <c r="AC128" i="7"/>
  <c r="AB128" i="7"/>
  <c r="W128" i="7"/>
  <c r="R128" i="7"/>
  <c r="M128" i="7"/>
  <c r="L128" i="7"/>
  <c r="K128" i="7"/>
  <c r="AD149" i="7"/>
  <c r="AC149" i="7"/>
  <c r="AB149" i="7"/>
  <c r="W149" i="7"/>
  <c r="R149" i="7"/>
  <c r="O149" i="7"/>
  <c r="M149" i="7"/>
  <c r="L149" i="7"/>
  <c r="K149" i="7"/>
  <c r="J149" i="7"/>
  <c r="AH149" i="7"/>
  <c r="AG149" i="7"/>
  <c r="L179" i="7"/>
  <c r="J179" i="7"/>
  <c r="AD179" i="7"/>
  <c r="W179" i="7"/>
  <c r="K179" i="7"/>
  <c r="AG179" i="7"/>
  <c r="AC179" i="7"/>
  <c r="AB179" i="7"/>
  <c r="O179" i="7"/>
  <c r="M179" i="7"/>
  <c r="AH179" i="7"/>
  <c r="R179" i="7"/>
  <c r="O43" i="7"/>
  <c r="M43" i="7"/>
  <c r="L43" i="7"/>
  <c r="K43" i="7"/>
  <c r="J43" i="7"/>
  <c r="AH43" i="7"/>
  <c r="AG43" i="7"/>
  <c r="AD43" i="7"/>
  <c r="AC43" i="7"/>
  <c r="W43" i="7"/>
  <c r="AB43" i="7"/>
  <c r="R43" i="7"/>
  <c r="K115" i="7"/>
  <c r="AC115" i="7"/>
  <c r="AD115" i="7"/>
  <c r="AB115" i="7"/>
  <c r="W115" i="7"/>
  <c r="R115" i="7"/>
  <c r="O115" i="7"/>
  <c r="M115" i="7"/>
  <c r="L115" i="7"/>
  <c r="J115" i="7"/>
  <c r="AH115" i="7"/>
  <c r="AG115" i="7"/>
  <c r="L183" i="7"/>
  <c r="J183" i="7"/>
  <c r="AD183" i="7"/>
  <c r="W183" i="7"/>
  <c r="AB183" i="7"/>
  <c r="R183" i="7"/>
  <c r="O183" i="7"/>
  <c r="AH183" i="7"/>
  <c r="AG183" i="7"/>
  <c r="AC183" i="7"/>
  <c r="M183" i="7"/>
  <c r="K183" i="7"/>
  <c r="O166" i="7"/>
  <c r="M166" i="7"/>
  <c r="AH166" i="7"/>
  <c r="AD166" i="7"/>
  <c r="AG166" i="7"/>
  <c r="AC166" i="7"/>
  <c r="AB166" i="7"/>
  <c r="W166" i="7"/>
  <c r="R166" i="7"/>
  <c r="L166" i="7"/>
  <c r="K166" i="7"/>
  <c r="J166" i="7"/>
  <c r="AH210" i="7"/>
  <c r="AD210" i="7"/>
  <c r="W210" i="7"/>
  <c r="M210" i="7"/>
  <c r="J210" i="7"/>
  <c r="AG210" i="7"/>
  <c r="AC210" i="7"/>
  <c r="AB210" i="7"/>
  <c r="R210" i="7"/>
  <c r="O210" i="7"/>
  <c r="L210" i="7"/>
  <c r="K210" i="7"/>
  <c r="K131" i="7"/>
  <c r="AH131" i="7"/>
  <c r="AG131" i="7"/>
  <c r="AD131" i="7"/>
  <c r="AC131" i="7"/>
  <c r="W131" i="7"/>
  <c r="L131" i="7"/>
  <c r="J131" i="7"/>
  <c r="AB131" i="7"/>
  <c r="O131" i="7"/>
  <c r="R131" i="7"/>
  <c r="M131" i="7"/>
  <c r="O79" i="7"/>
  <c r="M79" i="7"/>
  <c r="L79" i="7"/>
  <c r="K79" i="7"/>
  <c r="J79" i="7"/>
  <c r="AH79" i="7"/>
  <c r="AG79" i="7"/>
  <c r="AD79" i="7"/>
  <c r="W79" i="7"/>
  <c r="R79" i="7"/>
  <c r="AC79" i="7"/>
  <c r="AB79" i="7"/>
  <c r="M15" i="7"/>
  <c r="L15" i="7"/>
  <c r="K15" i="7"/>
  <c r="AC15" i="7"/>
  <c r="J15" i="7"/>
  <c r="W15" i="7"/>
  <c r="AH15" i="7"/>
  <c r="AG15" i="7"/>
  <c r="AB15" i="7"/>
  <c r="AD15" i="7"/>
  <c r="R15" i="7"/>
  <c r="O15" i="7"/>
  <c r="L199" i="7"/>
  <c r="J199" i="7"/>
  <c r="AD199" i="7"/>
  <c r="W199" i="7"/>
  <c r="AH199" i="7"/>
  <c r="AG199" i="7"/>
  <c r="AB199" i="7"/>
  <c r="R199" i="7"/>
  <c r="O199" i="7"/>
  <c r="M199" i="7"/>
  <c r="K199" i="7"/>
  <c r="AC199" i="7"/>
  <c r="AG114" i="7"/>
  <c r="R114" i="7"/>
  <c r="K114" i="7"/>
  <c r="J114" i="7"/>
  <c r="AH114" i="7"/>
  <c r="AD114" i="7"/>
  <c r="AC114" i="7"/>
  <c r="AB114" i="7"/>
  <c r="W114" i="7"/>
  <c r="M114" i="7"/>
  <c r="O114" i="7"/>
  <c r="L114" i="7"/>
  <c r="K58" i="7"/>
  <c r="J58" i="7"/>
  <c r="AH58" i="7"/>
  <c r="AG58" i="7"/>
  <c r="W58" i="7"/>
  <c r="R58" i="7"/>
  <c r="O58" i="7"/>
  <c r="M58" i="7"/>
  <c r="L58" i="7"/>
  <c r="AC58" i="7"/>
  <c r="AD58" i="7"/>
  <c r="AB58" i="7"/>
  <c r="AC201" i="7"/>
  <c r="W201" i="7"/>
  <c r="M201" i="7"/>
  <c r="J201" i="7"/>
  <c r="AD201" i="7"/>
  <c r="AB201" i="7"/>
  <c r="R201" i="7"/>
  <c r="O201" i="7"/>
  <c r="K201" i="7"/>
  <c r="AH201" i="7"/>
  <c r="AG201" i="7"/>
  <c r="L201" i="7"/>
  <c r="AH134" i="7"/>
  <c r="AG134" i="7"/>
  <c r="AD134" i="7"/>
  <c r="AC134" i="7"/>
  <c r="AB134" i="7"/>
  <c r="W134" i="7"/>
  <c r="R134" i="7"/>
  <c r="O134" i="7"/>
  <c r="M134" i="7"/>
  <c r="L134" i="7"/>
  <c r="K134" i="7"/>
  <c r="J134" i="7"/>
  <c r="AB52" i="7"/>
  <c r="W52" i="7"/>
  <c r="R52" i="7"/>
  <c r="O52" i="7"/>
  <c r="J52" i="7"/>
  <c r="AD52" i="7"/>
  <c r="AC52" i="7"/>
  <c r="M52" i="7"/>
  <c r="L52" i="7"/>
  <c r="K52" i="7"/>
  <c r="AH52" i="7"/>
  <c r="AG52" i="7"/>
  <c r="W16" i="7"/>
  <c r="R16" i="7"/>
  <c r="O16" i="7"/>
  <c r="J16" i="7"/>
  <c r="AH16" i="7"/>
  <c r="M16" i="7"/>
  <c r="AG16" i="7"/>
  <c r="AB16" i="7"/>
  <c r="AD16" i="7"/>
  <c r="AC16" i="7"/>
  <c r="L16" i="7"/>
  <c r="K16" i="7"/>
  <c r="AC197" i="7"/>
  <c r="W197" i="7"/>
  <c r="M197" i="7"/>
  <c r="J197" i="7"/>
  <c r="L197" i="7"/>
  <c r="K197" i="7"/>
  <c r="AH197" i="7"/>
  <c r="AG197" i="7"/>
  <c r="AD197" i="7"/>
  <c r="AB197" i="7"/>
  <c r="R197" i="7"/>
  <c r="O197" i="7"/>
  <c r="AC137" i="7"/>
  <c r="AB137" i="7"/>
  <c r="W137" i="7"/>
  <c r="R137" i="7"/>
  <c r="O137" i="7"/>
  <c r="M137" i="7"/>
  <c r="L137" i="7"/>
  <c r="K137" i="7"/>
  <c r="J137" i="7"/>
  <c r="AG137" i="7"/>
  <c r="AD137" i="7"/>
  <c r="AH137" i="7"/>
  <c r="R170" i="7"/>
  <c r="O170" i="7"/>
  <c r="M170" i="7"/>
  <c r="AH170" i="7"/>
  <c r="AG170" i="7"/>
  <c r="AD170" i="7"/>
  <c r="AC170" i="7"/>
  <c r="AB170" i="7"/>
  <c r="W170" i="7"/>
  <c r="L170" i="7"/>
  <c r="K170" i="7"/>
  <c r="J170" i="7"/>
  <c r="AH138" i="7"/>
  <c r="AG138" i="7"/>
  <c r="AD138" i="7"/>
  <c r="AC138" i="7"/>
  <c r="AB138" i="7"/>
  <c r="W138" i="7"/>
  <c r="R138" i="7"/>
  <c r="O138" i="7"/>
  <c r="M138" i="7"/>
  <c r="L138" i="7"/>
  <c r="K138" i="7"/>
  <c r="J138" i="7"/>
  <c r="R174" i="7"/>
  <c r="O174" i="7"/>
  <c r="M174" i="7"/>
  <c r="AH174" i="7"/>
  <c r="AG174" i="7"/>
  <c r="AD174" i="7"/>
  <c r="AB174" i="7"/>
  <c r="W174" i="7"/>
  <c r="L174" i="7"/>
  <c r="K174" i="7"/>
  <c r="J174" i="7"/>
  <c r="AC174" i="7"/>
  <c r="AD13" i="7"/>
  <c r="AC13" i="7"/>
  <c r="AB13" i="7"/>
  <c r="L13" i="7"/>
  <c r="W13" i="7"/>
  <c r="R13" i="7"/>
  <c r="O13" i="7"/>
  <c r="M13" i="7"/>
  <c r="K13" i="7"/>
  <c r="J13" i="7"/>
  <c r="AH13" i="7"/>
  <c r="AG13" i="7"/>
  <c r="AG164" i="7"/>
  <c r="AD164" i="7"/>
  <c r="R164" i="7"/>
  <c r="L164" i="7"/>
  <c r="K164" i="7"/>
  <c r="J164" i="7"/>
  <c r="AH164" i="7"/>
  <c r="AC164" i="7"/>
  <c r="AB164" i="7"/>
  <c r="W164" i="7"/>
  <c r="O164" i="7"/>
  <c r="M164" i="7"/>
  <c r="R132" i="7"/>
  <c r="O132" i="7"/>
  <c r="M132" i="7"/>
  <c r="L132" i="7"/>
  <c r="K132" i="7"/>
  <c r="J132" i="7"/>
  <c r="AH132" i="7"/>
  <c r="AG132" i="7"/>
  <c r="AD132" i="7"/>
  <c r="AC132" i="7"/>
  <c r="AB132" i="7"/>
  <c r="W132" i="7"/>
  <c r="AB24" i="7"/>
  <c r="W24" i="7"/>
  <c r="R24" i="7"/>
  <c r="O24" i="7"/>
  <c r="L24" i="7"/>
  <c r="K24" i="7"/>
  <c r="J24" i="7"/>
  <c r="AH24" i="7"/>
  <c r="AD24" i="7"/>
  <c r="AG24" i="7"/>
  <c r="AC24" i="7"/>
  <c r="M24" i="7"/>
  <c r="AH8" i="7"/>
  <c r="M8" i="7"/>
  <c r="AG8" i="7"/>
  <c r="L8" i="7"/>
  <c r="AD8" i="7"/>
  <c r="AC8" i="7"/>
  <c r="AB8" i="7"/>
  <c r="W8" i="7"/>
  <c r="R8" i="7"/>
  <c r="O8" i="7"/>
  <c r="K8" i="7"/>
  <c r="J8" i="7"/>
  <c r="AC221" i="7"/>
  <c r="W221" i="7"/>
  <c r="M221" i="7"/>
  <c r="J221" i="7"/>
  <c r="L221" i="7"/>
  <c r="K221" i="7"/>
  <c r="AH221" i="7"/>
  <c r="AG221" i="7"/>
  <c r="AD221" i="7"/>
  <c r="AB221" i="7"/>
  <c r="R221" i="7"/>
  <c r="O221" i="7"/>
  <c r="AB125" i="7"/>
  <c r="L125" i="7"/>
  <c r="J125" i="7"/>
  <c r="AH125" i="7"/>
  <c r="AG125" i="7"/>
  <c r="AD125" i="7"/>
  <c r="AC125" i="7"/>
  <c r="W125" i="7"/>
  <c r="R125" i="7"/>
  <c r="M125" i="7"/>
  <c r="K125" i="7"/>
  <c r="O125" i="7"/>
  <c r="L207" i="7"/>
  <c r="J207" i="7"/>
  <c r="AD207" i="7"/>
  <c r="W207" i="7"/>
  <c r="AC207" i="7"/>
  <c r="AB207" i="7"/>
  <c r="R207" i="7"/>
  <c r="O207" i="7"/>
  <c r="M207" i="7"/>
  <c r="K207" i="7"/>
  <c r="AH207" i="7"/>
  <c r="AG207" i="7"/>
  <c r="M147" i="7"/>
  <c r="L147" i="7"/>
  <c r="K147" i="7"/>
  <c r="J147" i="7"/>
  <c r="AH147" i="7"/>
  <c r="AG147" i="7"/>
  <c r="AD147" i="7"/>
  <c r="AC147" i="7"/>
  <c r="AB147" i="7"/>
  <c r="W147" i="7"/>
  <c r="R147" i="7"/>
  <c r="O147" i="7"/>
  <c r="O82" i="7"/>
  <c r="L82" i="7"/>
  <c r="K82" i="7"/>
  <c r="AB82" i="7"/>
  <c r="W82" i="7"/>
  <c r="R82" i="7"/>
  <c r="M82" i="7"/>
  <c r="J82" i="7"/>
  <c r="AD82" i="7"/>
  <c r="AC82" i="7"/>
  <c r="AH82" i="7"/>
  <c r="AG82" i="7"/>
  <c r="R188" i="7"/>
  <c r="M188" i="7"/>
  <c r="J188" i="7"/>
  <c r="AD188" i="7"/>
  <c r="AG188" i="7"/>
  <c r="AC188" i="7"/>
  <c r="AB188" i="7"/>
  <c r="K188" i="7"/>
  <c r="AH188" i="7"/>
  <c r="W188" i="7"/>
  <c r="O188" i="7"/>
  <c r="L188" i="7"/>
  <c r="AB76" i="7"/>
  <c r="W76" i="7"/>
  <c r="R76" i="7"/>
  <c r="O76" i="7"/>
  <c r="M76" i="7"/>
  <c r="L76" i="7"/>
  <c r="K76" i="7"/>
  <c r="J76" i="7"/>
  <c r="AD76" i="7"/>
  <c r="AC76" i="7"/>
  <c r="AH76" i="7"/>
  <c r="AG76" i="7"/>
  <c r="AB28" i="7"/>
  <c r="W28" i="7"/>
  <c r="R28" i="7"/>
  <c r="O28" i="7"/>
  <c r="L28" i="7"/>
  <c r="K28" i="7"/>
  <c r="J28" i="7"/>
  <c r="AH28" i="7"/>
  <c r="AD28" i="7"/>
  <c r="AC28" i="7"/>
  <c r="M28" i="7"/>
  <c r="AG28" i="7"/>
  <c r="O102" i="7"/>
  <c r="M102" i="7"/>
  <c r="L102" i="7"/>
  <c r="K102" i="7"/>
  <c r="J102" i="7"/>
  <c r="AH102" i="7"/>
  <c r="AG102" i="7"/>
  <c r="AD102" i="7"/>
  <c r="AC102" i="7"/>
  <c r="W102" i="7"/>
  <c r="R102" i="7"/>
  <c r="AB102" i="7"/>
  <c r="K38" i="7"/>
  <c r="J38" i="7"/>
  <c r="AH38" i="7"/>
  <c r="AG38" i="7"/>
  <c r="AD38" i="7"/>
  <c r="AC38" i="7"/>
  <c r="AB38" i="7"/>
  <c r="W38" i="7"/>
  <c r="R38" i="7"/>
  <c r="M38" i="7"/>
  <c r="O38" i="7"/>
  <c r="L38" i="7"/>
  <c r="R176" i="7"/>
  <c r="M176" i="7"/>
  <c r="J176" i="7"/>
  <c r="AD176" i="7"/>
  <c r="AG176" i="7"/>
  <c r="AC176" i="7"/>
  <c r="AB176" i="7"/>
  <c r="K176" i="7"/>
  <c r="AH176" i="7"/>
  <c r="W176" i="7"/>
  <c r="O176" i="7"/>
  <c r="L176" i="7"/>
  <c r="AB64" i="7"/>
  <c r="W64" i="7"/>
  <c r="R64" i="7"/>
  <c r="O64" i="7"/>
  <c r="M64" i="7"/>
  <c r="L64" i="7"/>
  <c r="K64" i="7"/>
  <c r="J64" i="7"/>
  <c r="AD64" i="7"/>
  <c r="AC64" i="7"/>
  <c r="AH64" i="7"/>
  <c r="AG64" i="7"/>
  <c r="K165" i="7"/>
  <c r="J165" i="7"/>
  <c r="AC165" i="7"/>
  <c r="W165" i="7"/>
  <c r="AH165" i="7"/>
  <c r="AG165" i="7"/>
  <c r="AD165" i="7"/>
  <c r="AB165" i="7"/>
  <c r="R165" i="7"/>
  <c r="O165" i="7"/>
  <c r="M165" i="7"/>
  <c r="L165" i="7"/>
  <c r="K101" i="7"/>
  <c r="J101" i="7"/>
  <c r="AH101" i="7"/>
  <c r="AG101" i="7"/>
  <c r="AD101" i="7"/>
  <c r="AC101" i="7"/>
  <c r="AB101" i="7"/>
  <c r="W101" i="7"/>
  <c r="R101" i="7"/>
  <c r="M101" i="7"/>
  <c r="O101" i="7"/>
  <c r="L101" i="7"/>
  <c r="O110" i="7"/>
  <c r="M110" i="7"/>
  <c r="L110" i="7"/>
  <c r="K110" i="7"/>
  <c r="J110" i="7"/>
  <c r="AH110" i="7"/>
  <c r="AG110" i="7"/>
  <c r="AD110" i="7"/>
  <c r="AC110" i="7"/>
  <c r="W110" i="7"/>
  <c r="AB110" i="7"/>
  <c r="R110" i="7"/>
  <c r="K46" i="7"/>
  <c r="AH46" i="7"/>
  <c r="AG46" i="7"/>
  <c r="AD46" i="7"/>
  <c r="AC46" i="7"/>
  <c r="AB46" i="7"/>
  <c r="W46" i="7"/>
  <c r="R46" i="7"/>
  <c r="O46" i="7"/>
  <c r="M46" i="7"/>
  <c r="J46" i="7"/>
  <c r="L46" i="7"/>
  <c r="O106" i="7"/>
  <c r="M106" i="7"/>
  <c r="L106" i="7"/>
  <c r="K106" i="7"/>
  <c r="J106" i="7"/>
  <c r="AH106" i="7"/>
  <c r="AG106" i="7"/>
  <c r="AD106" i="7"/>
  <c r="AC106" i="7"/>
  <c r="W106" i="7"/>
  <c r="AB106" i="7"/>
  <c r="R106" i="7"/>
  <c r="AB36" i="7"/>
  <c r="W36" i="7"/>
  <c r="R36" i="7"/>
  <c r="O36" i="7"/>
  <c r="M36" i="7"/>
  <c r="L36" i="7"/>
  <c r="K36" i="7"/>
  <c r="J36" i="7"/>
  <c r="AH36" i="7"/>
  <c r="AD36" i="7"/>
  <c r="AG36" i="7"/>
  <c r="AC36" i="7"/>
  <c r="R196" i="7"/>
  <c r="M196" i="7"/>
  <c r="J196" i="7"/>
  <c r="AD196" i="7"/>
  <c r="W196" i="7"/>
  <c r="O196" i="7"/>
  <c r="L196" i="7"/>
  <c r="K196" i="7"/>
  <c r="AH196" i="7"/>
  <c r="AG196" i="7"/>
  <c r="AC196" i="7"/>
  <c r="AB196" i="7"/>
  <c r="AG100" i="7"/>
  <c r="AD100" i="7"/>
  <c r="AC100" i="7"/>
  <c r="AB100" i="7"/>
  <c r="W100" i="7"/>
  <c r="R100" i="7"/>
  <c r="O100" i="7"/>
  <c r="M100" i="7"/>
  <c r="L100" i="7"/>
  <c r="J100" i="7"/>
  <c r="AH100" i="7"/>
  <c r="K100" i="7"/>
  <c r="R184" i="7"/>
  <c r="M184" i="7"/>
  <c r="J184" i="7"/>
  <c r="AD184" i="7"/>
  <c r="O184" i="7"/>
  <c r="L184" i="7"/>
  <c r="K184" i="7"/>
  <c r="AH184" i="7"/>
  <c r="AG184" i="7"/>
  <c r="AB184" i="7"/>
  <c r="W184" i="7"/>
  <c r="AC184" i="7"/>
  <c r="AB72" i="7"/>
  <c r="W72" i="7"/>
  <c r="R72" i="7"/>
  <c r="O72" i="7"/>
  <c r="M72" i="7"/>
  <c r="L72" i="7"/>
  <c r="K72" i="7"/>
  <c r="J72" i="7"/>
  <c r="AD72" i="7"/>
  <c r="AC72" i="7"/>
  <c r="AH72" i="7"/>
  <c r="AG72" i="7"/>
  <c r="AG118" i="7"/>
  <c r="R118" i="7"/>
  <c r="M118" i="7"/>
  <c r="L118" i="7"/>
  <c r="K118" i="7"/>
  <c r="J118" i="7"/>
  <c r="AH118" i="7"/>
  <c r="AD118" i="7"/>
  <c r="AC118" i="7"/>
  <c r="W118" i="7"/>
  <c r="AB118" i="7"/>
  <c r="O118" i="7"/>
  <c r="AB103" i="7"/>
  <c r="W103" i="7"/>
  <c r="R103" i="7"/>
  <c r="O103" i="7"/>
  <c r="M103" i="7"/>
  <c r="L103" i="7"/>
  <c r="K103" i="7"/>
  <c r="J103" i="7"/>
  <c r="AH103" i="7"/>
  <c r="AD103" i="7"/>
  <c r="AG103" i="7"/>
  <c r="AC103" i="7"/>
  <c r="F15" i="8"/>
  <c r="I150" i="7"/>
  <c r="H150" i="7"/>
  <c r="G150" i="7"/>
  <c r="F150" i="7"/>
  <c r="E150" i="7"/>
  <c r="D150" i="7"/>
  <c r="C150" i="7"/>
  <c r="B150" i="7"/>
  <c r="A150" i="7"/>
  <c r="J175" i="7"/>
  <c r="AD175" i="7"/>
  <c r="W175" i="7"/>
  <c r="AH175" i="7"/>
  <c r="AG175" i="7"/>
  <c r="O175" i="7"/>
  <c r="M175" i="7"/>
  <c r="L175" i="7"/>
  <c r="AC175" i="7"/>
  <c r="AB175" i="7"/>
  <c r="R175" i="7"/>
  <c r="K175" i="7"/>
  <c r="O31" i="7"/>
  <c r="M31" i="7"/>
  <c r="L31" i="7"/>
  <c r="K31" i="7"/>
  <c r="J31" i="7"/>
  <c r="AH31" i="7"/>
  <c r="AG31" i="7"/>
  <c r="AD31" i="7"/>
  <c r="AC31" i="7"/>
  <c r="W31" i="7"/>
  <c r="R31" i="7"/>
  <c r="AB31" i="7"/>
  <c r="L211" i="7"/>
  <c r="J211" i="7"/>
  <c r="AD211" i="7"/>
  <c r="W211" i="7"/>
  <c r="AH211" i="7"/>
  <c r="AG211" i="7"/>
  <c r="AC211" i="7"/>
  <c r="AB211" i="7"/>
  <c r="R211" i="7"/>
  <c r="O211" i="7"/>
  <c r="M211" i="7"/>
  <c r="K211" i="7"/>
  <c r="O35" i="7"/>
  <c r="M35" i="7"/>
  <c r="L35" i="7"/>
  <c r="K35" i="7"/>
  <c r="J35" i="7"/>
  <c r="AH35" i="7"/>
  <c r="AG35" i="7"/>
  <c r="AD35" i="7"/>
  <c r="AC35" i="7"/>
  <c r="W35" i="7"/>
  <c r="AB35" i="7"/>
  <c r="R35" i="7"/>
  <c r="K127" i="7"/>
  <c r="AD127" i="7"/>
  <c r="AC127" i="7"/>
  <c r="L127" i="7"/>
  <c r="J127" i="7"/>
  <c r="AH127" i="7"/>
  <c r="AG127" i="7"/>
  <c r="AB127" i="7"/>
  <c r="W127" i="7"/>
  <c r="O127" i="7"/>
  <c r="R127" i="7"/>
  <c r="M127" i="7"/>
  <c r="O27" i="7"/>
  <c r="M27" i="7"/>
  <c r="L27" i="7"/>
  <c r="K27" i="7"/>
  <c r="AH27" i="7"/>
  <c r="AG27" i="7"/>
  <c r="AD27" i="7"/>
  <c r="AC27" i="7"/>
  <c r="W27" i="7"/>
  <c r="AB27" i="7"/>
  <c r="R27" i="7"/>
  <c r="J27" i="7"/>
  <c r="AG92" i="7"/>
  <c r="AD92" i="7"/>
  <c r="AC92" i="7"/>
  <c r="AB92" i="7"/>
  <c r="W92" i="7"/>
  <c r="R92" i="7"/>
  <c r="O92" i="7"/>
  <c r="AH92" i="7"/>
  <c r="M92" i="7"/>
  <c r="L92" i="7"/>
  <c r="K92" i="7"/>
  <c r="J92" i="7"/>
  <c r="AB113" i="7"/>
  <c r="L113" i="7"/>
  <c r="AC113" i="7"/>
  <c r="W113" i="7"/>
  <c r="R113" i="7"/>
  <c r="O113" i="7"/>
  <c r="M113" i="7"/>
  <c r="K113" i="7"/>
  <c r="J113" i="7"/>
  <c r="AG113" i="7"/>
  <c r="AH113" i="7"/>
  <c r="AD113" i="7"/>
  <c r="K70" i="7"/>
  <c r="J70" i="7"/>
  <c r="AH70" i="7"/>
  <c r="AG70" i="7"/>
  <c r="AD70" i="7"/>
  <c r="AC70" i="7"/>
  <c r="AB70" i="7"/>
  <c r="W70" i="7"/>
  <c r="M70" i="7"/>
  <c r="L70" i="7"/>
  <c r="R70" i="7"/>
  <c r="O70" i="7"/>
  <c r="AH198" i="7"/>
  <c r="AD198" i="7"/>
  <c r="W198" i="7"/>
  <c r="M198" i="7"/>
  <c r="J198" i="7"/>
  <c r="AC198" i="7"/>
  <c r="AB198" i="7"/>
  <c r="R198" i="7"/>
  <c r="O198" i="7"/>
  <c r="L198" i="7"/>
  <c r="AG198" i="7"/>
  <c r="K198" i="7"/>
  <c r="AH186" i="7"/>
  <c r="AD186" i="7"/>
  <c r="W186" i="7"/>
  <c r="M186" i="7"/>
  <c r="AB186" i="7"/>
  <c r="R186" i="7"/>
  <c r="O186" i="7"/>
  <c r="K186" i="7"/>
  <c r="J186" i="7"/>
  <c r="AG186" i="7"/>
  <c r="AC186" i="7"/>
  <c r="L186" i="7"/>
  <c r="AG25" i="7"/>
  <c r="AD25" i="7"/>
  <c r="AC25" i="7"/>
  <c r="AB25" i="7"/>
  <c r="R25" i="7"/>
  <c r="O25" i="7"/>
  <c r="M25" i="7"/>
  <c r="L25" i="7"/>
  <c r="J25" i="7"/>
  <c r="AH25" i="7"/>
  <c r="W25" i="7"/>
  <c r="K25" i="7"/>
  <c r="AH206" i="7"/>
  <c r="AD206" i="7"/>
  <c r="W206" i="7"/>
  <c r="M206" i="7"/>
  <c r="AG206" i="7"/>
  <c r="AC206" i="7"/>
  <c r="AB206" i="7"/>
  <c r="R206" i="7"/>
  <c r="O206" i="7"/>
  <c r="L206" i="7"/>
  <c r="K206" i="7"/>
  <c r="J206" i="7"/>
  <c r="W148" i="7"/>
  <c r="R148" i="7"/>
  <c r="O148" i="7"/>
  <c r="M148" i="7"/>
  <c r="L148" i="7"/>
  <c r="K148" i="7"/>
  <c r="J148" i="7"/>
  <c r="AH148" i="7"/>
  <c r="AG148" i="7"/>
  <c r="AD148" i="7"/>
  <c r="AC148" i="7"/>
  <c r="AB148" i="7"/>
  <c r="AG37" i="7"/>
  <c r="AD37" i="7"/>
  <c r="AC37" i="7"/>
  <c r="AB37" i="7"/>
  <c r="W37" i="7"/>
  <c r="R37" i="7"/>
  <c r="O37" i="7"/>
  <c r="M37" i="7"/>
  <c r="L37" i="7"/>
  <c r="J37" i="7"/>
  <c r="AH37" i="7"/>
  <c r="K37" i="7"/>
  <c r="F14" i="8"/>
  <c r="I78" i="7"/>
  <c r="H78" i="7"/>
  <c r="G78" i="7"/>
  <c r="F78" i="7"/>
  <c r="E78" i="7"/>
  <c r="D78" i="7"/>
  <c r="A78" i="7"/>
  <c r="C78" i="7"/>
  <c r="B78" i="7"/>
  <c r="O19" i="7"/>
  <c r="M19" i="7"/>
  <c r="L19" i="7"/>
  <c r="K19" i="7"/>
  <c r="AH19" i="7"/>
  <c r="AG19" i="7"/>
  <c r="AD19" i="7"/>
  <c r="AC19" i="7"/>
  <c r="W19" i="7"/>
  <c r="R19" i="7"/>
  <c r="J19" i="7"/>
  <c r="AB19" i="7"/>
  <c r="L219" i="7"/>
  <c r="J219" i="7"/>
  <c r="AD219" i="7"/>
  <c r="W219" i="7"/>
  <c r="AC219" i="7"/>
  <c r="AB219" i="7"/>
  <c r="R219" i="7"/>
  <c r="O219" i="7"/>
  <c r="M219" i="7"/>
  <c r="K219" i="7"/>
  <c r="AH219" i="7"/>
  <c r="AG219" i="7"/>
  <c r="M151" i="7"/>
  <c r="L151" i="7"/>
  <c r="K151" i="7"/>
  <c r="J151" i="7"/>
  <c r="AH151" i="7"/>
  <c r="AG151" i="7"/>
  <c r="AD151" i="7"/>
  <c r="AC151" i="7"/>
  <c r="AB151" i="7"/>
  <c r="W151" i="7"/>
  <c r="R151" i="7"/>
  <c r="O151" i="7"/>
  <c r="AC11" i="7"/>
  <c r="AB11" i="7"/>
  <c r="W11" i="7"/>
  <c r="J11" i="7"/>
  <c r="R11" i="7"/>
  <c r="O11" i="7"/>
  <c r="M11" i="7"/>
  <c r="L11" i="7"/>
  <c r="K11" i="7"/>
  <c r="AG11" i="7"/>
  <c r="AH11" i="7"/>
  <c r="AD11" i="7"/>
  <c r="AB163" i="7"/>
  <c r="W163" i="7"/>
  <c r="L163" i="7"/>
  <c r="AC163" i="7"/>
  <c r="R163" i="7"/>
  <c r="O163" i="7"/>
  <c r="M163" i="7"/>
  <c r="K163" i="7"/>
  <c r="J163" i="7"/>
  <c r="AH163" i="7"/>
  <c r="AG163" i="7"/>
  <c r="AD163" i="7"/>
  <c r="AB83" i="7"/>
  <c r="R83" i="7"/>
  <c r="O83" i="7"/>
  <c r="K83" i="7"/>
  <c r="J83" i="7"/>
  <c r="AH83" i="7"/>
  <c r="AG83" i="7"/>
  <c r="AD83" i="7"/>
  <c r="M83" i="7"/>
  <c r="L83" i="7"/>
  <c r="AC83" i="7"/>
  <c r="W83" i="7"/>
  <c r="O23" i="7"/>
  <c r="M23" i="7"/>
  <c r="L23" i="7"/>
  <c r="K23" i="7"/>
  <c r="AH23" i="7"/>
  <c r="AG23" i="7"/>
  <c r="AD23" i="7"/>
  <c r="AC23" i="7"/>
  <c r="W23" i="7"/>
  <c r="R23" i="7"/>
  <c r="J23" i="7"/>
  <c r="AB23" i="7"/>
  <c r="K50" i="7"/>
  <c r="J50" i="7"/>
  <c r="AH50" i="7"/>
  <c r="AG50" i="7"/>
  <c r="AD50" i="7"/>
  <c r="AC50" i="7"/>
  <c r="AB50" i="7"/>
  <c r="W50" i="7"/>
  <c r="R50" i="7"/>
  <c r="O50" i="7"/>
  <c r="M50" i="7"/>
  <c r="L50" i="7"/>
  <c r="AG49" i="7"/>
  <c r="AD49" i="7"/>
  <c r="AC49" i="7"/>
  <c r="AB49" i="7"/>
  <c r="AH49" i="7"/>
  <c r="W49" i="7"/>
  <c r="R49" i="7"/>
  <c r="O49" i="7"/>
  <c r="M49" i="7"/>
  <c r="K49" i="7"/>
  <c r="L49" i="7"/>
  <c r="J49" i="7"/>
  <c r="R140" i="7"/>
  <c r="O140" i="7"/>
  <c r="M140" i="7"/>
  <c r="L140" i="7"/>
  <c r="K140" i="7"/>
  <c r="J140" i="7"/>
  <c r="AH140" i="7"/>
  <c r="AG140" i="7"/>
  <c r="AD140" i="7"/>
  <c r="AC140" i="7"/>
  <c r="AB140" i="7"/>
  <c r="W140" i="7"/>
  <c r="AC177" i="7"/>
  <c r="W177" i="7"/>
  <c r="M177" i="7"/>
  <c r="J177" i="7"/>
  <c r="AB177" i="7"/>
  <c r="R177" i="7"/>
  <c r="O177" i="7"/>
  <c r="AG177" i="7"/>
  <c r="AD177" i="7"/>
  <c r="L177" i="7"/>
  <c r="K177" i="7"/>
  <c r="AH177" i="7"/>
  <c r="O86" i="7"/>
  <c r="L86" i="7"/>
  <c r="K86" i="7"/>
  <c r="M86" i="7"/>
  <c r="J86" i="7"/>
  <c r="AH86" i="7"/>
  <c r="AG86" i="7"/>
  <c r="AD86" i="7"/>
  <c r="W86" i="7"/>
  <c r="R86" i="7"/>
  <c r="AC86" i="7"/>
  <c r="AB86" i="7"/>
  <c r="AC217" i="7"/>
  <c r="W217" i="7"/>
  <c r="M217" i="7"/>
  <c r="J217" i="7"/>
  <c r="AH217" i="7"/>
  <c r="AG217" i="7"/>
  <c r="AD217" i="7"/>
  <c r="AB217" i="7"/>
  <c r="R217" i="7"/>
  <c r="O217" i="7"/>
  <c r="L217" i="7"/>
  <c r="K217" i="7"/>
  <c r="AG160" i="7"/>
  <c r="AD160" i="7"/>
  <c r="R160" i="7"/>
  <c r="W160" i="7"/>
  <c r="O160" i="7"/>
  <c r="M160" i="7"/>
  <c r="L160" i="7"/>
  <c r="K160" i="7"/>
  <c r="J160" i="7"/>
  <c r="AH160" i="7"/>
  <c r="AC160" i="7"/>
  <c r="AB160" i="7"/>
  <c r="AG96" i="7"/>
  <c r="AD96" i="7"/>
  <c r="AC96" i="7"/>
  <c r="AB96" i="7"/>
  <c r="W96" i="7"/>
  <c r="R96" i="7"/>
  <c r="O96" i="7"/>
  <c r="J96" i="7"/>
  <c r="K96" i="7"/>
  <c r="M96" i="7"/>
  <c r="L96" i="7"/>
  <c r="AH96" i="7"/>
  <c r="AC213" i="7"/>
  <c r="W213" i="7"/>
  <c r="M213" i="7"/>
  <c r="J213" i="7"/>
  <c r="AD213" i="7"/>
  <c r="AB213" i="7"/>
  <c r="R213" i="7"/>
  <c r="O213" i="7"/>
  <c r="L213" i="7"/>
  <c r="K213" i="7"/>
  <c r="AH213" i="7"/>
  <c r="AG213" i="7"/>
  <c r="J154" i="7"/>
  <c r="AH154" i="7"/>
  <c r="AG154" i="7"/>
  <c r="AD154" i="7"/>
  <c r="AC154" i="7"/>
  <c r="AB154" i="7"/>
  <c r="W154" i="7"/>
  <c r="R154" i="7"/>
  <c r="O154" i="7"/>
  <c r="M154" i="7"/>
  <c r="L154" i="7"/>
  <c r="K154" i="7"/>
  <c r="AG122" i="7"/>
  <c r="R122" i="7"/>
  <c r="W122" i="7"/>
  <c r="O122" i="7"/>
  <c r="M122" i="7"/>
  <c r="L122" i="7"/>
  <c r="K122" i="7"/>
  <c r="J122" i="7"/>
  <c r="AH122" i="7"/>
  <c r="AC122" i="7"/>
  <c r="AD122" i="7"/>
  <c r="AB122" i="7"/>
  <c r="O158" i="7"/>
  <c r="M158" i="7"/>
  <c r="AH158" i="7"/>
  <c r="J158" i="7"/>
  <c r="AG158" i="7"/>
  <c r="AD158" i="7"/>
  <c r="AC158" i="7"/>
  <c r="AB158" i="7"/>
  <c r="W158" i="7"/>
  <c r="R158" i="7"/>
  <c r="L158" i="7"/>
  <c r="K158" i="7"/>
  <c r="AG45" i="7"/>
  <c r="AC45" i="7"/>
  <c r="O45" i="7"/>
  <c r="M45" i="7"/>
  <c r="L45" i="7"/>
  <c r="K45" i="7"/>
  <c r="J45" i="7"/>
  <c r="AH45" i="7"/>
  <c r="AD45" i="7"/>
  <c r="W45" i="7"/>
  <c r="R45" i="7"/>
  <c r="AB45" i="7"/>
  <c r="O116" i="7"/>
  <c r="AH116" i="7"/>
  <c r="L116" i="7"/>
  <c r="K116" i="7"/>
  <c r="J116" i="7"/>
  <c r="AG116" i="7"/>
  <c r="AD116" i="7"/>
  <c r="AC116" i="7"/>
  <c r="AB116" i="7"/>
  <c r="R116" i="7"/>
  <c r="M116" i="7"/>
  <c r="W116" i="7"/>
  <c r="R136" i="7"/>
  <c r="O136" i="7"/>
  <c r="M136" i="7"/>
  <c r="L136" i="7"/>
  <c r="K136" i="7"/>
  <c r="J136" i="7"/>
  <c r="AH136" i="7"/>
  <c r="AG136" i="7"/>
  <c r="AD136" i="7"/>
  <c r="AC136" i="7"/>
  <c r="AB136" i="7"/>
  <c r="W136" i="7"/>
  <c r="O47" i="7"/>
  <c r="L47" i="7"/>
  <c r="W47" i="7"/>
  <c r="R47" i="7"/>
  <c r="M47" i="7"/>
  <c r="K47" i="7"/>
  <c r="J47" i="7"/>
  <c r="AH47" i="7"/>
  <c r="AG47" i="7"/>
  <c r="AC47" i="7"/>
  <c r="AD47" i="7"/>
  <c r="AB47" i="7"/>
  <c r="O162" i="7"/>
  <c r="M162" i="7"/>
  <c r="AH162" i="7"/>
  <c r="AG162" i="7"/>
  <c r="AD162" i="7"/>
  <c r="AC162" i="7"/>
  <c r="AB162" i="7"/>
  <c r="W162" i="7"/>
  <c r="R162" i="7"/>
  <c r="L162" i="7"/>
  <c r="K162" i="7"/>
  <c r="J162" i="7"/>
  <c r="O98" i="7"/>
  <c r="M98" i="7"/>
  <c r="L98" i="7"/>
  <c r="K98" i="7"/>
  <c r="J98" i="7"/>
  <c r="AH98" i="7"/>
  <c r="AG98" i="7"/>
  <c r="AD98" i="7"/>
  <c r="AC98" i="7"/>
  <c r="W98" i="7"/>
  <c r="R98" i="7"/>
  <c r="AB98" i="7"/>
  <c r="R204" i="7"/>
  <c r="M204" i="7"/>
  <c r="J204" i="7"/>
  <c r="AD204" i="7"/>
  <c r="AH204" i="7"/>
  <c r="AG204" i="7"/>
  <c r="AC204" i="7"/>
  <c r="AB204" i="7"/>
  <c r="W204" i="7"/>
  <c r="O204" i="7"/>
  <c r="L204" i="7"/>
  <c r="K204" i="7"/>
  <c r="AG108" i="7"/>
  <c r="AD108" i="7"/>
  <c r="AC108" i="7"/>
  <c r="AB108" i="7"/>
  <c r="W108" i="7"/>
  <c r="R108" i="7"/>
  <c r="O108" i="7"/>
  <c r="M108" i="7"/>
  <c r="L108" i="7"/>
  <c r="J108" i="7"/>
  <c r="AH108" i="7"/>
  <c r="K108" i="7"/>
  <c r="AG33" i="7"/>
  <c r="AD33" i="7"/>
  <c r="AC33" i="7"/>
  <c r="AB33" i="7"/>
  <c r="W33" i="7"/>
  <c r="R33" i="7"/>
  <c r="O33" i="7"/>
  <c r="M33" i="7"/>
  <c r="L33" i="7"/>
  <c r="J33" i="7"/>
  <c r="AH33" i="7"/>
  <c r="K33" i="7"/>
  <c r="AH81" i="7"/>
  <c r="AG81" i="7"/>
  <c r="AD81" i="7"/>
  <c r="AC81" i="7"/>
  <c r="AB81" i="7"/>
  <c r="W81" i="7"/>
  <c r="R81" i="7"/>
  <c r="O81" i="7"/>
  <c r="M81" i="7"/>
  <c r="J81" i="7"/>
  <c r="L81" i="7"/>
  <c r="K81" i="7"/>
  <c r="AB121" i="7"/>
  <c r="L121" i="7"/>
  <c r="AH121" i="7"/>
  <c r="AG121" i="7"/>
  <c r="AD121" i="7"/>
  <c r="AC121" i="7"/>
  <c r="W121" i="7"/>
  <c r="R121" i="7"/>
  <c r="O121" i="7"/>
  <c r="M121" i="7"/>
  <c r="J121" i="7"/>
  <c r="K121" i="7"/>
  <c r="R192" i="7"/>
  <c r="M192" i="7"/>
  <c r="J192" i="7"/>
  <c r="AD192" i="7"/>
  <c r="AB192" i="7"/>
  <c r="W192" i="7"/>
  <c r="O192" i="7"/>
  <c r="AH192" i="7"/>
  <c r="AG192" i="7"/>
  <c r="AC192" i="7"/>
  <c r="L192" i="7"/>
  <c r="K192" i="7"/>
  <c r="AB80" i="7"/>
  <c r="W80" i="7"/>
  <c r="R80" i="7"/>
  <c r="O80" i="7"/>
  <c r="M80" i="7"/>
  <c r="L80" i="7"/>
  <c r="K80" i="7"/>
  <c r="J80" i="7"/>
  <c r="AD80" i="7"/>
  <c r="AC80" i="7"/>
  <c r="AH80" i="7"/>
  <c r="AG80" i="7"/>
  <c r="L9" i="7"/>
  <c r="R9" i="7"/>
  <c r="K9" i="7"/>
  <c r="J9" i="7"/>
  <c r="AH9" i="7"/>
  <c r="AG9" i="7"/>
  <c r="AD9" i="7"/>
  <c r="W9" i="7"/>
  <c r="AC9" i="7"/>
  <c r="AB9" i="7"/>
  <c r="O9" i="7"/>
  <c r="M9" i="7"/>
  <c r="O90" i="7"/>
  <c r="L90" i="7"/>
  <c r="K90" i="7"/>
  <c r="AH90" i="7"/>
  <c r="AG90" i="7"/>
  <c r="AD90" i="7"/>
  <c r="AC90" i="7"/>
  <c r="AB90" i="7"/>
  <c r="W90" i="7"/>
  <c r="J90" i="7"/>
  <c r="R90" i="7"/>
  <c r="M90" i="7"/>
  <c r="AG126" i="7"/>
  <c r="R126" i="7"/>
  <c r="AC126" i="7"/>
  <c r="AB126" i="7"/>
  <c r="W126" i="7"/>
  <c r="O126" i="7"/>
  <c r="M126" i="7"/>
  <c r="L126" i="7"/>
  <c r="K126" i="7"/>
  <c r="J126" i="7"/>
  <c r="AH126" i="7"/>
  <c r="AD126" i="7"/>
  <c r="R212" i="7"/>
  <c r="M212" i="7"/>
  <c r="J212" i="7"/>
  <c r="AD212" i="7"/>
  <c r="AH212" i="7"/>
  <c r="AG212" i="7"/>
  <c r="AC212" i="7"/>
  <c r="AB212" i="7"/>
  <c r="W212" i="7"/>
  <c r="O212" i="7"/>
  <c r="L212" i="7"/>
  <c r="K212" i="7"/>
  <c r="AG73" i="7"/>
  <c r="AD73" i="7"/>
  <c r="AC73" i="7"/>
  <c r="AB73" i="7"/>
  <c r="W73" i="7"/>
  <c r="R73" i="7"/>
  <c r="O73" i="7"/>
  <c r="M73" i="7"/>
  <c r="J73" i="7"/>
  <c r="AH73" i="7"/>
  <c r="L73" i="7"/>
  <c r="K73" i="7"/>
  <c r="R200" i="7"/>
  <c r="M200" i="7"/>
  <c r="J200" i="7"/>
  <c r="AD200" i="7"/>
  <c r="AH200" i="7"/>
  <c r="AG200" i="7"/>
  <c r="AC200" i="7"/>
  <c r="AB200" i="7"/>
  <c r="O200" i="7"/>
  <c r="L200" i="7"/>
  <c r="K200" i="7"/>
  <c r="W200" i="7"/>
  <c r="AG104" i="7"/>
  <c r="AD104" i="7"/>
  <c r="AC104" i="7"/>
  <c r="AB104" i="7"/>
  <c r="W104" i="7"/>
  <c r="R104" i="7"/>
  <c r="O104" i="7"/>
  <c r="M104" i="7"/>
  <c r="L104" i="7"/>
  <c r="J104" i="7"/>
  <c r="AH104" i="7"/>
  <c r="K104" i="7"/>
  <c r="AG88" i="7"/>
  <c r="AC88" i="7"/>
  <c r="AB88" i="7"/>
  <c r="AD88" i="7"/>
  <c r="W88" i="7"/>
  <c r="R88" i="7"/>
  <c r="O88" i="7"/>
  <c r="M88" i="7"/>
  <c r="L88" i="7"/>
  <c r="K88" i="7"/>
  <c r="J88" i="7"/>
  <c r="AH88" i="7"/>
  <c r="AG77" i="7"/>
  <c r="AD77" i="7"/>
  <c r="AC77" i="7"/>
  <c r="AB77" i="7"/>
  <c r="W77" i="7"/>
  <c r="R77" i="7"/>
  <c r="O77" i="7"/>
  <c r="M77" i="7"/>
  <c r="J77" i="7"/>
  <c r="AH77" i="7"/>
  <c r="L77" i="7"/>
  <c r="K77" i="7"/>
  <c r="AG61" i="7"/>
  <c r="AD61" i="7"/>
  <c r="AC61" i="7"/>
  <c r="AB61" i="7"/>
  <c r="M61" i="7"/>
  <c r="O61" i="7"/>
  <c r="L61" i="7"/>
  <c r="K61" i="7"/>
  <c r="J61" i="7"/>
  <c r="W61" i="7"/>
  <c r="AH61" i="7"/>
  <c r="R61" i="7"/>
  <c r="K119" i="7"/>
  <c r="AC119" i="7"/>
  <c r="AH119" i="7"/>
  <c r="AG119" i="7"/>
  <c r="AD119" i="7"/>
  <c r="AB119" i="7"/>
  <c r="W119" i="7"/>
  <c r="R119" i="7"/>
  <c r="O119" i="7"/>
  <c r="M119" i="7"/>
  <c r="L119" i="7"/>
  <c r="J119" i="7"/>
  <c r="AC7" i="7"/>
  <c r="AB7" i="7"/>
  <c r="W7" i="7"/>
  <c r="R7" i="7"/>
  <c r="O7" i="7"/>
  <c r="M7" i="7"/>
  <c r="J7" i="7"/>
  <c r="L7" i="7"/>
  <c r="K7" i="7"/>
  <c r="AH7" i="7"/>
  <c r="AG7" i="7"/>
  <c r="AD7" i="7"/>
  <c r="L135" i="7"/>
  <c r="K135" i="7"/>
  <c r="J135" i="7"/>
  <c r="AH135" i="7"/>
  <c r="AG135" i="7"/>
  <c r="AD135" i="7"/>
  <c r="AC135" i="7"/>
  <c r="AB135" i="7"/>
  <c r="W135" i="7"/>
  <c r="O135" i="7"/>
  <c r="M135" i="7"/>
  <c r="R135" i="7"/>
  <c r="L215" i="7"/>
  <c r="J215" i="7"/>
  <c r="AD215" i="7"/>
  <c r="W215" i="7"/>
  <c r="M215" i="7"/>
  <c r="K215" i="7"/>
  <c r="AH215" i="7"/>
  <c r="AG215" i="7"/>
  <c r="AC215" i="7"/>
  <c r="AB215" i="7"/>
  <c r="R215" i="7"/>
  <c r="O215" i="7"/>
  <c r="L187" i="7"/>
  <c r="J187" i="7"/>
  <c r="AD187" i="7"/>
  <c r="W187" i="7"/>
  <c r="AH187" i="7"/>
  <c r="AG187" i="7"/>
  <c r="O187" i="7"/>
  <c r="M187" i="7"/>
  <c r="K187" i="7"/>
  <c r="AC187" i="7"/>
  <c r="AB187" i="7"/>
  <c r="R187" i="7"/>
  <c r="AH178" i="7"/>
  <c r="AD178" i="7"/>
  <c r="W178" i="7"/>
  <c r="M178" i="7"/>
  <c r="O178" i="7"/>
  <c r="L178" i="7"/>
  <c r="K178" i="7"/>
  <c r="AG178" i="7"/>
  <c r="AC178" i="7"/>
  <c r="AB178" i="7"/>
  <c r="R178" i="7"/>
  <c r="J178" i="7"/>
  <c r="K66" i="7"/>
  <c r="J66" i="7"/>
  <c r="AH66" i="7"/>
  <c r="AG66" i="7"/>
  <c r="AD66" i="7"/>
  <c r="AC66" i="7"/>
  <c r="AB66" i="7"/>
  <c r="W66" i="7"/>
  <c r="M66" i="7"/>
  <c r="L66" i="7"/>
  <c r="R66" i="7"/>
  <c r="O66" i="7"/>
  <c r="W156" i="7"/>
  <c r="R156" i="7"/>
  <c r="O156" i="7"/>
  <c r="M156" i="7"/>
  <c r="L156" i="7"/>
  <c r="K156" i="7"/>
  <c r="J156" i="7"/>
  <c r="AH156" i="7"/>
  <c r="AG156" i="7"/>
  <c r="AD156" i="7"/>
  <c r="AC156" i="7"/>
  <c r="AB156" i="7"/>
  <c r="AB44" i="7"/>
  <c r="R44" i="7"/>
  <c r="AH44" i="7"/>
  <c r="AG44" i="7"/>
  <c r="AD44" i="7"/>
  <c r="AC44" i="7"/>
  <c r="W44" i="7"/>
  <c r="O44" i="7"/>
  <c r="M44" i="7"/>
  <c r="L44" i="7"/>
  <c r="K44" i="7"/>
  <c r="J44" i="7"/>
  <c r="AG17" i="7"/>
  <c r="AD17" i="7"/>
  <c r="AC17" i="7"/>
  <c r="AB17" i="7"/>
  <c r="M17" i="7"/>
  <c r="L17" i="7"/>
  <c r="O17" i="7"/>
  <c r="AH17" i="7"/>
  <c r="W17" i="7"/>
  <c r="K17" i="7"/>
  <c r="J17" i="7"/>
  <c r="R17" i="7"/>
  <c r="AG21" i="7"/>
  <c r="AD21" i="7"/>
  <c r="AC21" i="7"/>
  <c r="AB21" i="7"/>
  <c r="R21" i="7"/>
  <c r="O21" i="7"/>
  <c r="M21" i="7"/>
  <c r="L21" i="7"/>
  <c r="J21" i="7"/>
  <c r="AH21" i="7"/>
  <c r="W21" i="7"/>
  <c r="K21" i="7"/>
  <c r="AH214" i="7"/>
  <c r="AD214" i="7"/>
  <c r="W214" i="7"/>
  <c r="M214" i="7"/>
  <c r="R214" i="7"/>
  <c r="O214" i="7"/>
  <c r="L214" i="7"/>
  <c r="K214" i="7"/>
  <c r="J214" i="7"/>
  <c r="AG214" i="7"/>
  <c r="AC214" i="7"/>
  <c r="AB214" i="7"/>
  <c r="K26" i="7"/>
  <c r="J26" i="7"/>
  <c r="AH26" i="7"/>
  <c r="AG26" i="7"/>
  <c r="AC26" i="7"/>
  <c r="AB26" i="7"/>
  <c r="W26" i="7"/>
  <c r="R26" i="7"/>
  <c r="M26" i="7"/>
  <c r="AD26" i="7"/>
  <c r="O26" i="7"/>
  <c r="L26" i="7"/>
  <c r="AH190" i="7"/>
  <c r="AD190" i="7"/>
  <c r="W190" i="7"/>
  <c r="M190" i="7"/>
  <c r="O190" i="7"/>
  <c r="L190" i="7"/>
  <c r="K190" i="7"/>
  <c r="AG190" i="7"/>
  <c r="AC190" i="7"/>
  <c r="AB190" i="7"/>
  <c r="R190" i="7"/>
  <c r="J190" i="7"/>
  <c r="AH202" i="7"/>
  <c r="AD202" i="7"/>
  <c r="W202" i="7"/>
  <c r="M202" i="7"/>
  <c r="R202" i="7"/>
  <c r="O202" i="7"/>
  <c r="L202" i="7"/>
  <c r="K202" i="7"/>
  <c r="AG202" i="7"/>
  <c r="AC202" i="7"/>
  <c r="AB202" i="7"/>
  <c r="J202" i="7"/>
  <c r="K89" i="7"/>
  <c r="AH89" i="7"/>
  <c r="AG89" i="7"/>
  <c r="O89" i="7"/>
  <c r="M89" i="7"/>
  <c r="L89" i="7"/>
  <c r="J89" i="7"/>
  <c r="AD89" i="7"/>
  <c r="W89" i="7"/>
  <c r="R89" i="7"/>
  <c r="AC89" i="7"/>
  <c r="AB89" i="7"/>
  <c r="W152" i="7"/>
  <c r="R152" i="7"/>
  <c r="O152" i="7"/>
  <c r="M152" i="7"/>
  <c r="L152" i="7"/>
  <c r="K152" i="7"/>
  <c r="J152" i="7"/>
  <c r="AH152" i="7"/>
  <c r="AG152" i="7"/>
  <c r="AD152" i="7"/>
  <c r="AC152" i="7"/>
  <c r="AB152" i="7"/>
  <c r="K54" i="7"/>
  <c r="J54" i="7"/>
  <c r="AH54" i="7"/>
  <c r="AG54" i="7"/>
  <c r="W54" i="7"/>
  <c r="AB54" i="7"/>
  <c r="R54" i="7"/>
  <c r="O54" i="7"/>
  <c r="M54" i="7"/>
  <c r="L54" i="7"/>
  <c r="AD54" i="7"/>
  <c r="AC54" i="7"/>
  <c r="AB159" i="7"/>
  <c r="W159" i="7"/>
  <c r="L159" i="7"/>
  <c r="AH159" i="7"/>
  <c r="AG159" i="7"/>
  <c r="AD159" i="7"/>
  <c r="AC159" i="7"/>
  <c r="R159" i="7"/>
  <c r="O159" i="7"/>
  <c r="M159" i="7"/>
  <c r="K159" i="7"/>
  <c r="J159" i="7"/>
  <c r="L143" i="7"/>
  <c r="K143" i="7"/>
  <c r="J143" i="7"/>
  <c r="AH143" i="7"/>
  <c r="AG143" i="7"/>
  <c r="AD143" i="7"/>
  <c r="AC143" i="7"/>
  <c r="AB143" i="7"/>
  <c r="W143" i="7"/>
  <c r="R143" i="7"/>
  <c r="O143" i="7"/>
  <c r="M143" i="7"/>
  <c r="AC167" i="7"/>
  <c r="AB167" i="7"/>
  <c r="W167" i="7"/>
  <c r="L167" i="7"/>
  <c r="J167" i="7"/>
  <c r="AH167" i="7"/>
  <c r="AG167" i="7"/>
  <c r="AD167" i="7"/>
  <c r="R167" i="7"/>
  <c r="O167" i="7"/>
  <c r="M167" i="7"/>
  <c r="K167" i="7"/>
  <c r="O67" i="7"/>
  <c r="M67" i="7"/>
  <c r="L67" i="7"/>
  <c r="K67" i="7"/>
  <c r="J67" i="7"/>
  <c r="AH67" i="7"/>
  <c r="AG67" i="7"/>
  <c r="AD67" i="7"/>
  <c r="W67" i="7"/>
  <c r="R67" i="7"/>
  <c r="AC67" i="7"/>
  <c r="AB67" i="7"/>
  <c r="L195" i="7"/>
  <c r="J195" i="7"/>
  <c r="AD195" i="7"/>
  <c r="W195" i="7"/>
  <c r="AC195" i="7"/>
  <c r="AB195" i="7"/>
  <c r="R195" i="7"/>
  <c r="O195" i="7"/>
  <c r="AH195" i="7"/>
  <c r="AG195" i="7"/>
  <c r="M195" i="7"/>
  <c r="K195" i="7"/>
  <c r="AB99" i="7"/>
  <c r="W99" i="7"/>
  <c r="R99" i="7"/>
  <c r="O99" i="7"/>
  <c r="M99" i="7"/>
  <c r="L99" i="7"/>
  <c r="K99" i="7"/>
  <c r="J99" i="7"/>
  <c r="AH99" i="7"/>
  <c r="AD99" i="7"/>
  <c r="AG99" i="7"/>
  <c r="AC99" i="7"/>
  <c r="J146" i="7"/>
  <c r="AH146" i="7"/>
  <c r="AG146" i="7"/>
  <c r="AD146" i="7"/>
  <c r="AC146" i="7"/>
  <c r="AB146" i="7"/>
  <c r="W146" i="7"/>
  <c r="R146" i="7"/>
  <c r="O146" i="7"/>
  <c r="M146" i="7"/>
  <c r="L146" i="7"/>
  <c r="K146" i="7"/>
  <c r="AH172" i="7"/>
  <c r="AG172" i="7"/>
  <c r="AD172" i="7"/>
  <c r="R172" i="7"/>
  <c r="O172" i="7"/>
  <c r="M172" i="7"/>
  <c r="K172" i="7"/>
  <c r="J172" i="7"/>
  <c r="AC172" i="7"/>
  <c r="AB172" i="7"/>
  <c r="W172" i="7"/>
  <c r="L172" i="7"/>
  <c r="AB60" i="7"/>
  <c r="W60" i="7"/>
  <c r="R60" i="7"/>
  <c r="O60" i="7"/>
  <c r="J60" i="7"/>
  <c r="M60" i="7"/>
  <c r="L60" i="7"/>
  <c r="K60" i="7"/>
  <c r="AH60" i="7"/>
  <c r="AD60" i="7"/>
  <c r="AG60" i="7"/>
  <c r="AC60" i="7"/>
  <c r="AC193" i="7"/>
  <c r="W193" i="7"/>
  <c r="M193" i="7"/>
  <c r="J193" i="7"/>
  <c r="AH193" i="7"/>
  <c r="AG193" i="7"/>
  <c r="R193" i="7"/>
  <c r="O193" i="7"/>
  <c r="L193" i="7"/>
  <c r="K193" i="7"/>
  <c r="AB193" i="7"/>
  <c r="AD193" i="7"/>
  <c r="K161" i="7"/>
  <c r="J161" i="7"/>
  <c r="AC161" i="7"/>
  <c r="L161" i="7"/>
  <c r="AH161" i="7"/>
  <c r="AG161" i="7"/>
  <c r="AD161" i="7"/>
  <c r="AB161" i="7"/>
  <c r="W161" i="7"/>
  <c r="R161" i="7"/>
  <c r="O161" i="7"/>
  <c r="M161" i="7"/>
  <c r="AD145" i="7"/>
  <c r="AC145" i="7"/>
  <c r="AB145" i="7"/>
  <c r="W145" i="7"/>
  <c r="R145" i="7"/>
  <c r="O145" i="7"/>
  <c r="M145" i="7"/>
  <c r="L145" i="7"/>
  <c r="K145" i="7"/>
  <c r="J145" i="7"/>
  <c r="AH145" i="7"/>
  <c r="AG145" i="7"/>
  <c r="R144" i="7"/>
  <c r="O144" i="7"/>
  <c r="M144" i="7"/>
  <c r="L144" i="7"/>
  <c r="K144" i="7"/>
  <c r="J144" i="7"/>
  <c r="AH144" i="7"/>
  <c r="AG144" i="7"/>
  <c r="AD144" i="7"/>
  <c r="AC144" i="7"/>
  <c r="AB144" i="7"/>
  <c r="W144" i="7"/>
  <c r="O112" i="7"/>
  <c r="AH112" i="7"/>
  <c r="J112" i="7"/>
  <c r="AG112" i="7"/>
  <c r="AD112" i="7"/>
  <c r="AC112" i="7"/>
  <c r="AB112" i="7"/>
  <c r="W112" i="7"/>
  <c r="R112" i="7"/>
  <c r="L112" i="7"/>
  <c r="K112" i="7"/>
  <c r="M112" i="7"/>
  <c r="AB48" i="7"/>
  <c r="W48" i="7"/>
  <c r="R48" i="7"/>
  <c r="O48" i="7"/>
  <c r="J48" i="7"/>
  <c r="AH48" i="7"/>
  <c r="AG48" i="7"/>
  <c r="AD48" i="7"/>
  <c r="AC48" i="7"/>
  <c r="L48" i="7"/>
  <c r="K48" i="7"/>
  <c r="M48" i="7"/>
  <c r="AB117" i="7"/>
  <c r="L117" i="7"/>
  <c r="AG117" i="7"/>
  <c r="AD117" i="7"/>
  <c r="AC117" i="7"/>
  <c r="W117" i="7"/>
  <c r="R117" i="7"/>
  <c r="O117" i="7"/>
  <c r="M117" i="7"/>
  <c r="K117" i="7"/>
  <c r="J117" i="7"/>
  <c r="AH117" i="7"/>
  <c r="AC185" i="7"/>
  <c r="W185" i="7"/>
  <c r="M185" i="7"/>
  <c r="J185" i="7"/>
  <c r="K185" i="7"/>
  <c r="AG185" i="7"/>
  <c r="AD185" i="7"/>
  <c r="AB185" i="7"/>
  <c r="AH185" i="7"/>
  <c r="R185" i="7"/>
  <c r="O185" i="7"/>
  <c r="L185" i="7"/>
  <c r="R10" i="7"/>
  <c r="O10" i="7"/>
  <c r="M10" i="7"/>
  <c r="AC10" i="7"/>
  <c r="L10" i="7"/>
  <c r="AD10" i="7"/>
  <c r="K10" i="7"/>
  <c r="J10" i="7"/>
  <c r="AH10" i="7"/>
  <c r="AG10" i="7"/>
  <c r="AB10" i="7"/>
  <c r="W10" i="7"/>
  <c r="O120" i="7"/>
  <c r="AH120" i="7"/>
  <c r="R120" i="7"/>
  <c r="M120" i="7"/>
  <c r="L120" i="7"/>
  <c r="K120" i="7"/>
  <c r="J120" i="7"/>
  <c r="AG120" i="7"/>
  <c r="AD120" i="7"/>
  <c r="AB120" i="7"/>
  <c r="W120" i="7"/>
  <c r="AC120" i="7"/>
  <c r="AB56" i="7"/>
  <c r="W56" i="7"/>
  <c r="R56" i="7"/>
  <c r="O56" i="7"/>
  <c r="J56" i="7"/>
  <c r="AC56" i="7"/>
  <c r="M56" i="7"/>
  <c r="L56" i="7"/>
  <c r="K56" i="7"/>
  <c r="AG56" i="7"/>
  <c r="AH56" i="7"/>
  <c r="AD56" i="7"/>
  <c r="AC189" i="7"/>
  <c r="W189" i="7"/>
  <c r="M189" i="7"/>
  <c r="J189" i="7"/>
  <c r="AB189" i="7"/>
  <c r="R189" i="7"/>
  <c r="O189" i="7"/>
  <c r="AG189" i="7"/>
  <c r="AD189" i="7"/>
  <c r="L189" i="7"/>
  <c r="K189" i="7"/>
  <c r="AH189" i="7"/>
  <c r="AC141" i="7"/>
  <c r="AB141" i="7"/>
  <c r="W141" i="7"/>
  <c r="R141" i="7"/>
  <c r="O141" i="7"/>
  <c r="M141" i="7"/>
  <c r="L141" i="7"/>
  <c r="K141" i="7"/>
  <c r="J141" i="7"/>
  <c r="AH141" i="7"/>
  <c r="AG141" i="7"/>
  <c r="AD141" i="7"/>
  <c r="L139" i="7"/>
  <c r="K139" i="7"/>
  <c r="J139" i="7"/>
  <c r="AH139" i="7"/>
  <c r="AG139" i="7"/>
  <c r="AD139" i="7"/>
  <c r="AC139" i="7"/>
  <c r="AB139" i="7"/>
  <c r="W139" i="7"/>
  <c r="R139" i="7"/>
  <c r="O139" i="7"/>
  <c r="M139" i="7"/>
  <c r="AH12" i="7"/>
  <c r="AG12" i="7"/>
  <c r="AD12" i="7"/>
  <c r="AC12" i="7"/>
  <c r="AB12" i="7"/>
  <c r="W12" i="7"/>
  <c r="M12" i="7"/>
  <c r="R12" i="7"/>
  <c r="O12" i="7"/>
  <c r="K12" i="7"/>
  <c r="J12" i="7"/>
  <c r="L12" i="7"/>
  <c r="L203" i="7"/>
  <c r="J203" i="7"/>
  <c r="AD203" i="7"/>
  <c r="W203" i="7"/>
  <c r="M203" i="7"/>
  <c r="K203" i="7"/>
  <c r="AH203" i="7"/>
  <c r="AG203" i="7"/>
  <c r="AC203" i="7"/>
  <c r="AB203" i="7"/>
  <c r="R203" i="7"/>
  <c r="O203" i="7"/>
  <c r="K123" i="7"/>
  <c r="AC123" i="7"/>
  <c r="AH123" i="7"/>
  <c r="AG123" i="7"/>
  <c r="AD123" i="7"/>
  <c r="AB123" i="7"/>
  <c r="W123" i="7"/>
  <c r="R123" i="7"/>
  <c r="O123" i="7"/>
  <c r="L123" i="7"/>
  <c r="M123" i="7"/>
  <c r="J123" i="7"/>
  <c r="AB91" i="7"/>
  <c r="R91" i="7"/>
  <c r="O91" i="7"/>
  <c r="AG91" i="7"/>
  <c r="AD91" i="7"/>
  <c r="AC91" i="7"/>
  <c r="W91" i="7"/>
  <c r="M91" i="7"/>
  <c r="L91" i="7"/>
  <c r="K91" i="7"/>
  <c r="J91" i="7"/>
  <c r="AH91" i="7"/>
  <c r="K34" i="7"/>
  <c r="J34" i="7"/>
  <c r="AH34" i="7"/>
  <c r="AG34" i="7"/>
  <c r="AD34" i="7"/>
  <c r="AC34" i="7"/>
  <c r="AB34" i="7"/>
  <c r="W34" i="7"/>
  <c r="R34" i="7"/>
  <c r="M34" i="7"/>
  <c r="L34" i="7"/>
  <c r="O34" i="7"/>
  <c r="AG53" i="7"/>
  <c r="AD53" i="7"/>
  <c r="AC53" i="7"/>
  <c r="AB53" i="7"/>
  <c r="M53" i="7"/>
  <c r="W53" i="7"/>
  <c r="R53" i="7"/>
  <c r="O53" i="7"/>
  <c r="L53" i="7"/>
  <c r="K53" i="7"/>
  <c r="J53" i="7"/>
  <c r="AH53" i="7"/>
  <c r="F13" i="8"/>
  <c r="B5" i="8"/>
  <c r="C6" i="7"/>
  <c r="B6" i="7"/>
  <c r="A6" i="7"/>
  <c r="F6" i="7"/>
  <c r="B4" i="10" s="1"/>
  <c r="I6" i="7"/>
  <c r="G6" i="7"/>
  <c r="H6" i="7"/>
  <c r="E6" i="7"/>
  <c r="D6" i="7"/>
  <c r="M155" i="7"/>
  <c r="L155" i="7"/>
  <c r="K155" i="7"/>
  <c r="J155" i="7"/>
  <c r="AH155" i="7"/>
  <c r="AG155" i="7"/>
  <c r="AD155" i="7"/>
  <c r="AC155" i="7"/>
  <c r="AB155" i="7"/>
  <c r="W155" i="7"/>
  <c r="R155" i="7"/>
  <c r="O155" i="7"/>
  <c r="O51" i="7"/>
  <c r="M51" i="7"/>
  <c r="L51" i="7"/>
  <c r="K51" i="7"/>
  <c r="AD51" i="7"/>
  <c r="AC51" i="7"/>
  <c r="AB51" i="7"/>
  <c r="W51" i="7"/>
  <c r="R51" i="7"/>
  <c r="J51" i="7"/>
  <c r="AH51" i="7"/>
  <c r="AG51" i="7"/>
  <c r="AB107" i="7"/>
  <c r="W107" i="7"/>
  <c r="R107" i="7"/>
  <c r="O107" i="7"/>
  <c r="M107" i="7"/>
  <c r="L107" i="7"/>
  <c r="K107" i="7"/>
  <c r="J107" i="7"/>
  <c r="AH107" i="7"/>
  <c r="AD107" i="7"/>
  <c r="AG107" i="7"/>
  <c r="AC107" i="7"/>
  <c r="O75" i="7"/>
  <c r="M75" i="7"/>
  <c r="L75" i="7"/>
  <c r="K75" i="7"/>
  <c r="J75" i="7"/>
  <c r="AH75" i="7"/>
  <c r="AG75" i="7"/>
  <c r="AD75" i="7"/>
  <c r="W75" i="7"/>
  <c r="R75" i="7"/>
  <c r="AC75" i="7"/>
  <c r="AB75" i="7"/>
  <c r="L191" i="7"/>
  <c r="J191" i="7"/>
  <c r="AD191" i="7"/>
  <c r="W191" i="7"/>
  <c r="K191" i="7"/>
  <c r="AG191" i="7"/>
  <c r="AC191" i="7"/>
  <c r="AB191" i="7"/>
  <c r="O191" i="7"/>
  <c r="M191" i="7"/>
  <c r="AH191" i="7"/>
  <c r="R191" i="7"/>
  <c r="O59" i="7"/>
  <c r="M59" i="7"/>
  <c r="L59" i="7"/>
  <c r="K59" i="7"/>
  <c r="AD59" i="7"/>
  <c r="W59" i="7"/>
  <c r="R59" i="7"/>
  <c r="J59" i="7"/>
  <c r="AH59" i="7"/>
  <c r="AC59" i="7"/>
  <c r="AB59" i="7"/>
  <c r="AG59" i="7"/>
  <c r="R220" i="7"/>
  <c r="M220" i="7"/>
  <c r="J220" i="7"/>
  <c r="AD220" i="7"/>
  <c r="W220" i="7"/>
  <c r="O220" i="7"/>
  <c r="L220" i="7"/>
  <c r="K220" i="7"/>
  <c r="AH220" i="7"/>
  <c r="AG220" i="7"/>
  <c r="AC220" i="7"/>
  <c r="AB220" i="7"/>
  <c r="AG65" i="7"/>
  <c r="AD65" i="7"/>
  <c r="AC65" i="7"/>
  <c r="AB65" i="7"/>
  <c r="W65" i="7"/>
  <c r="R65" i="7"/>
  <c r="O65" i="7"/>
  <c r="M65" i="7"/>
  <c r="J65" i="7"/>
  <c r="AH65" i="7"/>
  <c r="L65" i="7"/>
  <c r="K65" i="7"/>
  <c r="AB129" i="7"/>
  <c r="M129" i="7"/>
  <c r="L129" i="7"/>
  <c r="AC129" i="7"/>
  <c r="W129" i="7"/>
  <c r="R129" i="7"/>
  <c r="O129" i="7"/>
  <c r="K129" i="7"/>
  <c r="J129" i="7"/>
  <c r="AG129" i="7"/>
  <c r="AD129" i="7"/>
  <c r="AH129" i="7"/>
  <c r="K105" i="7"/>
  <c r="J105" i="7"/>
  <c r="AH105" i="7"/>
  <c r="AG105" i="7"/>
  <c r="AD105" i="7"/>
  <c r="AC105" i="7"/>
  <c r="AB105" i="7"/>
  <c r="W105" i="7"/>
  <c r="R105" i="7"/>
  <c r="M105" i="7"/>
  <c r="L105" i="7"/>
  <c r="O105" i="7"/>
  <c r="AG57" i="7"/>
  <c r="AD57" i="7"/>
  <c r="AC57" i="7"/>
  <c r="AB57" i="7"/>
  <c r="M57" i="7"/>
  <c r="R57" i="7"/>
  <c r="O57" i="7"/>
  <c r="L57" i="7"/>
  <c r="K57" i="7"/>
  <c r="J57" i="7"/>
  <c r="AH57" i="7"/>
  <c r="W57" i="7"/>
  <c r="R208" i="7"/>
  <c r="M208" i="7"/>
  <c r="J208" i="7"/>
  <c r="AD208" i="7"/>
  <c r="W208" i="7"/>
  <c r="O208" i="7"/>
  <c r="L208" i="7"/>
  <c r="K208" i="7"/>
  <c r="AH208" i="7"/>
  <c r="AG208" i="7"/>
  <c r="AC208" i="7"/>
  <c r="AB208" i="7"/>
  <c r="AB32" i="7"/>
  <c r="W32" i="7"/>
  <c r="R32" i="7"/>
  <c r="O32" i="7"/>
  <c r="M32" i="7"/>
  <c r="L32" i="7"/>
  <c r="K32" i="7"/>
  <c r="J32" i="7"/>
  <c r="AH32" i="7"/>
  <c r="AD32" i="7"/>
  <c r="AG32" i="7"/>
  <c r="AC32" i="7"/>
  <c r="K42" i="7"/>
  <c r="J42" i="7"/>
  <c r="AH42" i="7"/>
  <c r="AG42" i="7"/>
  <c r="AD42" i="7"/>
  <c r="AC42" i="7"/>
  <c r="AB42" i="7"/>
  <c r="W42" i="7"/>
  <c r="R42" i="7"/>
  <c r="M42" i="7"/>
  <c r="O42" i="7"/>
  <c r="L42" i="7"/>
  <c r="AB68" i="7"/>
  <c r="W68" i="7"/>
  <c r="R68" i="7"/>
  <c r="O68" i="7"/>
  <c r="M68" i="7"/>
  <c r="L68" i="7"/>
  <c r="K68" i="7"/>
  <c r="J68" i="7"/>
  <c r="AD68" i="7"/>
  <c r="AC68" i="7"/>
  <c r="AH68" i="7"/>
  <c r="AG68" i="7"/>
  <c r="AG41" i="7"/>
  <c r="AD41" i="7"/>
  <c r="AC41" i="7"/>
  <c r="AB41" i="7"/>
  <c r="W41" i="7"/>
  <c r="R41" i="7"/>
  <c r="O41" i="7"/>
  <c r="M41" i="7"/>
  <c r="L41" i="7"/>
  <c r="J41" i="7"/>
  <c r="AH41" i="7"/>
  <c r="K41" i="7"/>
  <c r="R216" i="7"/>
  <c r="M216" i="7"/>
  <c r="J216" i="7"/>
  <c r="AD216" i="7"/>
  <c r="AH216" i="7"/>
  <c r="AG216" i="7"/>
  <c r="AC216" i="7"/>
  <c r="AB216" i="7"/>
  <c r="W216" i="7"/>
  <c r="O216" i="7"/>
  <c r="L216" i="7"/>
  <c r="K216" i="7"/>
  <c r="AH168" i="7"/>
  <c r="AG168" i="7"/>
  <c r="AD168" i="7"/>
  <c r="R168" i="7"/>
  <c r="O168" i="7"/>
  <c r="M168" i="7"/>
  <c r="AC168" i="7"/>
  <c r="AB168" i="7"/>
  <c r="W168" i="7"/>
  <c r="L168" i="7"/>
  <c r="K168" i="7"/>
  <c r="J168" i="7"/>
  <c r="AB40" i="7"/>
  <c r="W40" i="7"/>
  <c r="R40" i="7"/>
  <c r="O40" i="7"/>
  <c r="M40" i="7"/>
  <c r="L40" i="7"/>
  <c r="K40" i="7"/>
  <c r="J40" i="7"/>
  <c r="AH40" i="7"/>
  <c r="AD40" i="7"/>
  <c r="AC40" i="7"/>
  <c r="AG40" i="7"/>
  <c r="K93" i="7"/>
  <c r="J93" i="7"/>
  <c r="AH93" i="7"/>
  <c r="AG93" i="7"/>
  <c r="AD93" i="7"/>
  <c r="AC93" i="7"/>
  <c r="AB93" i="7"/>
  <c r="W93" i="7"/>
  <c r="R93" i="7"/>
  <c r="L93" i="7"/>
  <c r="O93" i="7"/>
  <c r="M93" i="7"/>
  <c r="AC171" i="7"/>
  <c r="AB171" i="7"/>
  <c r="W171" i="7"/>
  <c r="L171" i="7"/>
  <c r="K171" i="7"/>
  <c r="J171" i="7"/>
  <c r="AH171" i="7"/>
  <c r="AG171" i="7"/>
  <c r="AD171" i="7"/>
  <c r="R171" i="7"/>
  <c r="O171" i="7"/>
  <c r="M171" i="7"/>
  <c r="AG84" i="7"/>
  <c r="AC84" i="7"/>
  <c r="AB84" i="7"/>
  <c r="AH84" i="7"/>
  <c r="AD84" i="7"/>
  <c r="W84" i="7"/>
  <c r="R84" i="7"/>
  <c r="O84" i="7"/>
  <c r="M84" i="7"/>
  <c r="J84" i="7"/>
  <c r="L84" i="7"/>
  <c r="K84" i="7"/>
  <c r="O55" i="7"/>
  <c r="M55" i="7"/>
  <c r="L55" i="7"/>
  <c r="K55" i="7"/>
  <c r="AD55" i="7"/>
  <c r="AB55" i="7"/>
  <c r="W55" i="7"/>
  <c r="R55" i="7"/>
  <c r="J55" i="7"/>
  <c r="AG55" i="7"/>
  <c r="AC55" i="7"/>
  <c r="AH55" i="7"/>
  <c r="AB111" i="7"/>
  <c r="W111" i="7"/>
  <c r="R111" i="7"/>
  <c r="O111" i="7"/>
  <c r="M111" i="7"/>
  <c r="L111" i="7"/>
  <c r="K111" i="7"/>
  <c r="J111" i="7"/>
  <c r="AH111" i="7"/>
  <c r="AD111" i="7"/>
  <c r="AG111" i="7"/>
  <c r="AC111" i="7"/>
  <c r="O63" i="7"/>
  <c r="M63" i="7"/>
  <c r="L63" i="7"/>
  <c r="K63" i="7"/>
  <c r="J63" i="7"/>
  <c r="AH63" i="7"/>
  <c r="AG63" i="7"/>
  <c r="AD63" i="7"/>
  <c r="W63" i="7"/>
  <c r="R63" i="7"/>
  <c r="AC63" i="7"/>
  <c r="AB63" i="7"/>
  <c r="AB87" i="7"/>
  <c r="R87" i="7"/>
  <c r="O87" i="7"/>
  <c r="AH87" i="7"/>
  <c r="AG87" i="7"/>
  <c r="AD87" i="7"/>
  <c r="AC87" i="7"/>
  <c r="W87" i="7"/>
  <c r="M87" i="7"/>
  <c r="J87" i="7"/>
  <c r="L87" i="7"/>
  <c r="K87" i="7"/>
  <c r="O39" i="7"/>
  <c r="M39" i="7"/>
  <c r="L39" i="7"/>
  <c r="K39" i="7"/>
  <c r="J39" i="7"/>
  <c r="AH39" i="7"/>
  <c r="AG39" i="7"/>
  <c r="AD39" i="7"/>
  <c r="AC39" i="7"/>
  <c r="W39" i="7"/>
  <c r="AB39" i="7"/>
  <c r="R39" i="7"/>
  <c r="O71" i="7"/>
  <c r="M71" i="7"/>
  <c r="L71" i="7"/>
  <c r="K71" i="7"/>
  <c r="J71" i="7"/>
  <c r="AH71" i="7"/>
  <c r="AG71" i="7"/>
  <c r="AD71" i="7"/>
  <c r="W71" i="7"/>
  <c r="R71" i="7"/>
  <c r="AC71" i="7"/>
  <c r="AB71" i="7"/>
  <c r="AH194" i="7"/>
  <c r="AD194" i="7"/>
  <c r="W194" i="7"/>
  <c r="M194" i="7"/>
  <c r="AG194" i="7"/>
  <c r="AC194" i="7"/>
  <c r="AB194" i="7"/>
  <c r="L194" i="7"/>
  <c r="K194" i="7"/>
  <c r="J194" i="7"/>
  <c r="R194" i="7"/>
  <c r="O194" i="7"/>
  <c r="AG130" i="7"/>
  <c r="W130" i="7"/>
  <c r="R130" i="7"/>
  <c r="M130" i="7"/>
  <c r="O130" i="7"/>
  <c r="L130" i="7"/>
  <c r="K130" i="7"/>
  <c r="J130" i="7"/>
  <c r="AH130" i="7"/>
  <c r="AC130" i="7"/>
  <c r="AD130" i="7"/>
  <c r="AB130" i="7"/>
  <c r="K18" i="7"/>
  <c r="J18" i="7"/>
  <c r="AH18" i="7"/>
  <c r="AG18" i="7"/>
  <c r="AC18" i="7"/>
  <c r="AB18" i="7"/>
  <c r="W18" i="7"/>
  <c r="R18" i="7"/>
  <c r="M18" i="7"/>
  <c r="AD18" i="7"/>
  <c r="O18" i="7"/>
  <c r="L18" i="7"/>
  <c r="K74" i="7"/>
  <c r="J74" i="7"/>
  <c r="AH74" i="7"/>
  <c r="AG74" i="7"/>
  <c r="AD74" i="7"/>
  <c r="AC74" i="7"/>
  <c r="AB74" i="7"/>
  <c r="W74" i="7"/>
  <c r="M74" i="7"/>
  <c r="L74" i="7"/>
  <c r="R74" i="7"/>
  <c r="O74" i="7"/>
  <c r="AG29" i="7"/>
  <c r="AD29" i="7"/>
  <c r="AC29" i="7"/>
  <c r="AB29" i="7"/>
  <c r="R29" i="7"/>
  <c r="O29" i="7"/>
  <c r="M29" i="7"/>
  <c r="L29" i="7"/>
  <c r="J29" i="7"/>
  <c r="AH29" i="7"/>
  <c r="W29" i="7"/>
  <c r="K29" i="7"/>
  <c r="AH218" i="7"/>
  <c r="AD218" i="7"/>
  <c r="W218" i="7"/>
  <c r="M218" i="7"/>
  <c r="AG218" i="7"/>
  <c r="AC218" i="7"/>
  <c r="AB218" i="7"/>
  <c r="R218" i="7"/>
  <c r="O218" i="7"/>
  <c r="L218" i="7"/>
  <c r="K218" i="7"/>
  <c r="J218" i="7"/>
  <c r="K30" i="7"/>
  <c r="J30" i="7"/>
  <c r="AH30" i="7"/>
  <c r="AG30" i="7"/>
  <c r="AD30" i="7"/>
  <c r="AC30" i="7"/>
  <c r="AB30" i="7"/>
  <c r="W30" i="7"/>
  <c r="R30" i="7"/>
  <c r="M30" i="7"/>
  <c r="L30" i="7"/>
  <c r="O30" i="7"/>
  <c r="AD153" i="7"/>
  <c r="AC153" i="7"/>
  <c r="AB153" i="7"/>
  <c r="W153" i="7"/>
  <c r="R153" i="7"/>
  <c r="O153" i="7"/>
  <c r="M153" i="7"/>
  <c r="L153" i="7"/>
  <c r="K153" i="7"/>
  <c r="J153" i="7"/>
  <c r="AH153" i="7"/>
  <c r="AG153" i="7"/>
  <c r="AD157" i="7"/>
  <c r="AC157" i="7"/>
  <c r="AB157" i="7"/>
  <c r="W157" i="7"/>
  <c r="R157" i="7"/>
  <c r="O157" i="7"/>
  <c r="M157" i="7"/>
  <c r="L157" i="7"/>
  <c r="K157" i="7"/>
  <c r="J157" i="7"/>
  <c r="AH157" i="7"/>
  <c r="AG157" i="7"/>
  <c r="J150" i="7" l="1"/>
  <c r="AH150" i="7"/>
  <c r="AG150" i="7"/>
  <c r="AD150" i="7"/>
  <c r="AC150" i="7"/>
  <c r="AB150" i="7"/>
  <c r="W150" i="7"/>
  <c r="R150" i="7"/>
  <c r="O150" i="7"/>
  <c r="M150" i="7"/>
  <c r="L150" i="7"/>
  <c r="K150" i="7"/>
  <c r="K78" i="7"/>
  <c r="J78" i="7"/>
  <c r="AH78" i="7"/>
  <c r="AG78" i="7"/>
  <c r="AD78" i="7"/>
  <c r="AC78" i="7"/>
  <c r="AB78" i="7"/>
  <c r="W78" i="7"/>
  <c r="M78" i="7"/>
  <c r="L78" i="7"/>
  <c r="R78" i="7"/>
  <c r="O78" i="7"/>
  <c r="R6" i="7"/>
  <c r="O6" i="7"/>
  <c r="M6" i="7"/>
  <c r="L6" i="7"/>
  <c r="K6" i="7"/>
  <c r="J6" i="7"/>
  <c r="AC6" i="7"/>
  <c r="AH6" i="7"/>
  <c r="AG6" i="7"/>
  <c r="AB6" i="7"/>
  <c r="W6" i="7"/>
  <c r="AD6" i="7"/>
  <c r="B9" i="10" l="1"/>
  <c r="B10" i="8"/>
  <c r="B17" i="10"/>
  <c r="B16" i="10"/>
  <c r="B15" i="10"/>
  <c r="B14" i="10"/>
  <c r="B8" i="10"/>
  <c r="B7" i="10"/>
  <c r="B6" i="10"/>
  <c r="B5" i="10"/>
  <c r="B10" i="10" s="1"/>
  <c r="B9" i="8"/>
  <c r="B8" i="8"/>
  <c r="B7" i="8"/>
  <c r="B11" i="8" s="1"/>
  <c r="B6" i="8"/>
</calcChain>
</file>

<file path=xl/sharedStrings.xml><?xml version="1.0" encoding="utf-8"?>
<sst xmlns="http://schemas.openxmlformats.org/spreadsheetml/2006/main" count="584" uniqueCount="358">
  <si>
    <t>Document Unique d'Evaluation des Risques Professionnels</t>
  </si>
  <si>
    <t>Créé le :</t>
  </si>
  <si>
    <t xml:space="preserve">Mise à jour le : </t>
  </si>
  <si>
    <t>/</t>
  </si>
  <si>
    <t xml:space="preserve">Nom de l'entreprise : </t>
  </si>
  <si>
    <t xml:space="preserve">Adresse : </t>
  </si>
  <si>
    <t xml:space="preserve">Activités : </t>
  </si>
  <si>
    <t xml:space="preserve">Téléphone : </t>
  </si>
  <si>
    <t>Nombre d'unités de travail :</t>
  </si>
  <si>
    <t xml:space="preserve">Email : </t>
  </si>
  <si>
    <t xml:space="preserve">Personne responsable : </t>
  </si>
  <si>
    <t xml:space="preserve">Nombre de salariés : </t>
  </si>
  <si>
    <t xml:space="preserve">Contexte : </t>
  </si>
  <si>
    <t xml:space="preserve">Nom de l'entreprise </t>
  </si>
  <si>
    <t xml:space="preserve">Répartition des salariés </t>
  </si>
  <si>
    <t>Activité</t>
  </si>
  <si>
    <t>Principes de précautions</t>
  </si>
  <si>
    <t>Référence réglementaire</t>
  </si>
  <si>
    <t>Définitions</t>
  </si>
  <si>
    <t>Critères évaluation</t>
  </si>
  <si>
    <t>Article L4121-2</t>
  </si>
  <si>
    <t>L'employeur met en oeuvre les mesures prévues à l'article L. 4121-1 sur le fondement des principes généraux de prévention suivants :</t>
  </si>
  <si>
    <t>1° Eviter les risques ;</t>
  </si>
  <si>
    <t>2° Evaluer les risques qui ne peuvent pas être évités ;</t>
  </si>
  <si>
    <t>3° Combattre les risques à la source ;</t>
  </si>
  <si>
    <t>4° Adapter le travail à l'homme, en particulier en ce qui concerne la conception des postes de travail ainsi que le choix des équipements de travail et des méthodes de travail et de production, en vue notamment de limiter le travail monotone et le travail cadencé et de réduire les effets de ceux-ci sur la santé ;</t>
  </si>
  <si>
    <t>5° Tenir compte de l'état d'évolution de la technique ;</t>
  </si>
  <si>
    <t>6° Remplacer ce qui est dangereux par ce qui n'est pas dangereux ou par ce qui est moins dangereux ;</t>
  </si>
  <si>
    <t>7° Planifier la prévention en y intégrant, dans un ensemble cohérent, la technique, l'organisation du travail, les conditions de travail, les relations sociales et l'influence des facteurs ambiants, notamment les risques liés au harcèlement moral et au harcèlement sexuel, tels qu'ils sont définis aux articles L. 1152-1 et L. 1153-1, ainsi que ceux liés aux agissements sexistes définis à l'article L. 1142-2-1 ;</t>
  </si>
  <si>
    <t>8° Prendre des mesures de protection collective en leur donnant la priorité sur les mesures de protection individuelle ;</t>
  </si>
  <si>
    <t>9° Donner les instructions appropriées aux travailleurs.</t>
  </si>
  <si>
    <t xml:space="preserve">Référence réglementaire : </t>
  </si>
  <si>
    <t>Retour haut</t>
  </si>
  <si>
    <t>Article R4121-1</t>
  </si>
  <si>
    <t>L'employeur transcrit et met à jour dans un document unique les résultats de l'évaluation des risques pour la santé et la sécurité des travailleurs à laquelle il procède en application de l'article L. 4121-3.</t>
  </si>
  <si>
    <t>Cette évaluation comporte un inventaire des risques identifiés dans chaque unité de travail de l'entreprise ou de l'établissement, y compris ceux liés aux ambiances thermiques.</t>
  </si>
  <si>
    <t>Article R4121-1-1</t>
  </si>
  <si>
    <t>Modifié par Décret n°2015-1885 du 30 décembre 2015 - art. 2</t>
  </si>
  <si>
    <t>L'employeur consigne, en annexe du document unique :</t>
  </si>
  <si>
    <t>1° Les données collectives utiles à l'évaluation des expositions individuelles aux facteurs de risques mentionnés à l'article L. 4161-1 de nature à faciliter la déclaration mentionnée à cet article, le cas échéant à partir de l'identification de postes, métiers ou situations de travail figurant dans un accord collectif étendu ou un référentiel professionnel de branche homologué mentionnés à l'article L. 4161-2 ;</t>
  </si>
  <si>
    <t>2° La proportion de salariés exposés aux facteurs de risques professionnels mentionnés à l'article L. 4161-1, au-delà des seuils prévus au même article. Cette proportion est actualisée en tant que de besoin lors de la mise à jour du document unique.</t>
  </si>
  <si>
    <t>Article R4121-2</t>
  </si>
  <si>
    <t>Modifié par Décret n°2022-395 du 18 mars 2022 - art. 1</t>
  </si>
  <si>
    <t>La mise à jour du document unique d'évaluation des risques professionnels est réalisée :</t>
  </si>
  <si>
    <t>1° Au moins chaque année dans les entreprises d'au moins onze salariés ;</t>
  </si>
  <si>
    <t>2° Lors de toute décision d'aménagement important modifiant les conditions de santé et de sécurité ou les conditions de travail ;</t>
  </si>
  <si>
    <t>3° Lorsqu'une information supplémentaire intéressant l'évaluation d'un risque est portée à la connaissance de l'employeur.</t>
  </si>
  <si>
    <t>La mise à jour du programme annuel de prévention des risques professionnels et d'amélioration des conditions de travail ou de la liste des actions de prévention et de protection mentionnés au III de l'article L. 4121-3-1 est effectuée à chaque mise à jour du document unique d'évaluation des risques professionnels, si nécessaire.</t>
  </si>
  <si>
    <t>Article R4121-3</t>
  </si>
  <si>
    <t>Dans les établissements dotés d'un comité social et économique, le document unique d'évaluation des risques professionnels est utilisé pour l'établissement du rapport annuel prévu au 1° de l'article L. 2312-27.</t>
  </si>
  <si>
    <t>Article R4121-4</t>
  </si>
  <si>
    <t>Le document unique d'évaluation des risques professionnels et ses versions antérieures sont tenus, pendant une durée de 40 ans à compter de leur élaboration, à la disposition :</t>
  </si>
  <si>
    <t>1° Des travailleurs et des anciens travailleurs pour les versions en vigueur durant leur période d'activité dans l'entreprise. La communication des versions du document unique antérieures à celle en vigueur à la date de la demande peut être limitée aux seuls éléments afférents à l'activité du demandeur. Les travailleurs et anciens travailleurs peuvent communiquer les éléments mis à leur disposition aux professionnels de santé en charge de leur suivi médical ;</t>
  </si>
  <si>
    <t>2° Des membres de la délégation du personnel du comité social et économique ;</t>
  </si>
  <si>
    <t>3° Du service de prévention et de santé au travail mentionné à l'article L. 4622-1 ;</t>
  </si>
  <si>
    <t>4° Des agents du système d'inspection du travail ;</t>
  </si>
  <si>
    <t>5° Des agents des services de prévention des organismes de sécurité sociale ;</t>
  </si>
  <si>
    <t>6° Des agents des organismes professionnels de santé, de sécurité et des conditions de travail mentionnés à l'article L. 4643-1 ;</t>
  </si>
  <si>
    <t>7° Des inspecteurs de la radioprotection mentionnés à l'article L. 1333-29 du code de la santé publique et des agents mentionnés à l'article L. 1333-30 du même code, en ce qui concerne les résultats des évaluations liées à l'exposition des travailleurs aux rayonnements ionisants, pour les installations et activités dont ils ont respectivement la charge.</t>
  </si>
  <si>
    <t>Jusqu'à l'entrée en vigueur de l'obligation de dépôt du document unique d'évaluation des risques professionnels sur un portail numérique selon les modalités prévues au B du V de l'article L. 4121-3-1 du code du travail, l'employeur conserve les versions successives du document unique au sein de l'entreprise sous la forme d'un document papier ou dématérialisé.</t>
  </si>
  <si>
    <t>Un avis indiquant les modalités d'accès des travailleurs au document unique est affiché à une place convenable et aisément accessible dans les lieux de travail. Dans les entreprises ou établissements dotés d'un règlement intérieur, cet avis est affiché au même emplacement que celui réservé au règlement intérieur.</t>
  </si>
  <si>
    <t xml:space="preserve">Unité de Travail : </t>
  </si>
  <si>
    <t>(Source INRS)</t>
  </si>
  <si>
    <t>L'unité de travail, ce n'est pas nécessairement un poste de travail, une fonction, une activité, un processus mais bien une situation de travail dans laquelle un ou des salariés, avec une ou des fonctions différentes et en charge d'activités différentes, est (sont) exposé(s) à un même danger.</t>
  </si>
  <si>
    <t xml:space="preserve">Prévention : </t>
  </si>
  <si>
    <t xml:space="preserve">Ensemble des actions, attitudes et comportements qui tendent à limiter/maitriser certains risques. </t>
  </si>
  <si>
    <t xml:space="preserve">Critères évaluation : </t>
  </si>
  <si>
    <t>Retour Haut</t>
  </si>
  <si>
    <t xml:space="preserve">Indice </t>
  </si>
  <si>
    <t>Gravité du dommage potentiel</t>
  </si>
  <si>
    <t>Faible
Presque accident
Pas d'arrêt de travail
Pas de soin à l'extérieur</t>
  </si>
  <si>
    <t xml:space="preserve">Modérée
Arrêt de travail inférieur à 7jours
Pas de suivi médical </t>
  </si>
  <si>
    <t>Grave
Arrêt de travail supérieur à 7jours
Suivi médical ou soins répétés
Maladie professionnelle</t>
  </si>
  <si>
    <t>Très grave
Incapacité Permanente Partielle
Maladie professionnelle irréversible
Mort</t>
  </si>
  <si>
    <t>Fréquence d'exposition</t>
  </si>
  <si>
    <t>Annuelle
Rarement exposé</t>
  </si>
  <si>
    <t xml:space="preserve">Mensuelle
Parfois exposé </t>
  </si>
  <si>
    <t>Hebdomadaire
Souvent exposé</t>
  </si>
  <si>
    <t>Journalière
Régulièrement exposé</t>
  </si>
  <si>
    <t>1 à &lt;5  = Vert, Niveau de risque faible</t>
  </si>
  <si>
    <t>5  à  &lt;9 = Jaune, Niveau de risque moyen</t>
  </si>
  <si>
    <t>9 à &lt;13 = Orangé, Niveau de risque important</t>
  </si>
  <si>
    <t>&gt; ou =13 = Niveau de risque élevé</t>
  </si>
  <si>
    <t>UNITÉ DE TRAVAIL</t>
  </si>
  <si>
    <t>Situation de travail</t>
  </si>
  <si>
    <t>Source de Danger</t>
  </si>
  <si>
    <t>Situation à risque ou risque associé</t>
  </si>
  <si>
    <t>Conséquences</t>
  </si>
  <si>
    <t>Fréqu. Exp</t>
  </si>
  <si>
    <t>Gravité</t>
  </si>
  <si>
    <t>Risque Brut</t>
  </si>
  <si>
    <t>Actions de prévention existantes</t>
  </si>
  <si>
    <t>Formation</t>
  </si>
  <si>
    <t>Mode opératoire</t>
  </si>
  <si>
    <t>Équipements de travail (Outils)</t>
  </si>
  <si>
    <t>Équipements de protection (EPI/EPC)</t>
  </si>
  <si>
    <t>Maitrise du risque</t>
  </si>
  <si>
    <t>Risque résiduel</t>
  </si>
  <si>
    <t>Actions de prévention à mettre en place (Obligatoire si risque rédiduel est = ou &gt; à 13)</t>
  </si>
  <si>
    <t>Échéance</t>
  </si>
  <si>
    <t>Pilote</t>
  </si>
  <si>
    <t>Statut action</t>
  </si>
  <si>
    <t>Date de clôture</t>
  </si>
  <si>
    <t>Inscription PAPRIPACT</t>
  </si>
  <si>
    <t>Efficacité vérifiée</t>
  </si>
  <si>
    <t>Date vérification</t>
  </si>
  <si>
    <t>Commentaire / preuve</t>
  </si>
  <si>
    <t>TOTAL (3)</t>
  </si>
  <si>
    <t>PARTIEL (2)</t>
  </si>
  <si>
    <t>ABSENT (1)</t>
  </si>
  <si>
    <t>Organisation du travail</t>
  </si>
  <si>
    <t>Surcharge de travail</t>
  </si>
  <si>
    <t>Gestion des compagnons</t>
  </si>
  <si>
    <t>Stress
Burn-out</t>
  </si>
  <si>
    <t>Manœuvre</t>
  </si>
  <si>
    <t>Heurts membres supérieurs /inférieurs</t>
  </si>
  <si>
    <t>Installation de fiches/piquets</t>
  </si>
  <si>
    <t>Utilisation d'une masse</t>
  </si>
  <si>
    <t>Heurts membres supérieurs/inférieurs</t>
  </si>
  <si>
    <t>Réglage au sol</t>
  </si>
  <si>
    <t>Réglage manuel</t>
  </si>
  <si>
    <t>Atteinte musculaire et articulaire (lombalgie, TMS…)
Posture prolongée</t>
  </si>
  <si>
    <t>Montée/descente des fourgons</t>
  </si>
  <si>
    <t>Précpitation/Inattention</t>
  </si>
  <si>
    <t>Travaux en toutes positions</t>
  </si>
  <si>
    <t>Gestes répétitifs
Postures inadaptées</t>
  </si>
  <si>
    <t>Mauvaise ergonomie au poste de travail</t>
  </si>
  <si>
    <t>Atteinte musculaire et articulaire (lombalgie, TMS…)</t>
  </si>
  <si>
    <t>Conducteur d'engin</t>
  </si>
  <si>
    <t>Accès à la cabine</t>
  </si>
  <si>
    <t>Chute de hauteur</t>
  </si>
  <si>
    <t>Heurt et blessures</t>
  </si>
  <si>
    <t>Intervention sur l'engin</t>
  </si>
  <si>
    <t>Maintenance de l'engin lors dysfonctionnement</t>
  </si>
  <si>
    <t>Heurt entre engins</t>
  </si>
  <si>
    <t>Plusieurs engins sur le chantier</t>
  </si>
  <si>
    <t>Collision</t>
  </si>
  <si>
    <t>Enfouissement</t>
  </si>
  <si>
    <t>Travail sur des monticules de terre</t>
  </si>
  <si>
    <t>Sous-cavement</t>
  </si>
  <si>
    <t>Enfouissement
Etouffement</t>
  </si>
  <si>
    <t xml:space="preserve">Basculement </t>
  </si>
  <si>
    <t>Travaux dans un environnement où le risque de basculement de l'engin est important</t>
  </si>
  <si>
    <t>Mauvaise appréciation du conducteur
Renversement de l'engin</t>
  </si>
  <si>
    <t>Risque chimique</t>
  </si>
  <si>
    <t>Contact avec produits dangereux</t>
  </si>
  <si>
    <t>Risque de projection d'huile/graisse</t>
  </si>
  <si>
    <t>Brûlures</t>
  </si>
  <si>
    <t>FACTEURS DE RISQUES PROFESSIONNELS / C2P – mise à jour 2026</t>
  </si>
  <si>
    <t>Références : Code du travail L.4161-1 et D.4163-2. Les 10 facteurs doivent être pris en compte dans la prévention ; 6 facteurs seulement ouvrent actuellement droit au Compte professionnel de prévention (C2P) lorsqu'ils dépassent les seuils réglementaires.</t>
  </si>
  <si>
    <t>A. Les 10 facteurs de risques professionnels à prendre en compte dans la prévention</t>
  </si>
  <si>
    <t>Catégorie</t>
  </si>
  <si>
    <t>Exposition dans l'entreprise</t>
  </si>
  <si>
    <t>Mesures / observations</t>
  </si>
  <si>
    <t>Contraintes physiques marquées</t>
  </si>
  <si>
    <t>Manutentions manuelles de charges</t>
  </si>
  <si>
    <t>Non</t>
  </si>
  <si>
    <t>Pas de seuil C2P</t>
  </si>
  <si>
    <t>Postures pénibles / positions forcées</t>
  </si>
  <si>
    <t>Vibrations mécaniques</t>
  </si>
  <si>
    <t>Environnement physique agressif</t>
  </si>
  <si>
    <t>Activités en milieu hyperbare</t>
  </si>
  <si>
    <t>Oui</t>
  </si>
  <si>
    <t>≥ 1 200 hPa ; 60 interventions ou travaux/an</t>
  </si>
  <si>
    <t>Températures extrêmes</t>
  </si>
  <si>
    <t>Bruit</t>
  </si>
  <si>
    <t>Travail de nuit</t>
  </si>
  <si>
    <t>≥ 1 h entre 00:00 et 05:00 ; 100 nuits/an</t>
  </si>
  <si>
    <t>Rythmes de travail</t>
  </si>
  <si>
    <t>Travail répétitif</t>
  </si>
  <si>
    <t>Cycle ≤ 30 s : ≥ 15 actions techniques ; sinon ≥ 30 actions/min ; 900 h/an</t>
  </si>
  <si>
    <t>Unité / poste</t>
  </si>
  <si>
    <t>Facteur</t>
  </si>
  <si>
    <t>Population exposée</t>
  </si>
  <si>
    <t>Niveau / durée estimée</t>
  </si>
  <si>
    <t>Conclusion</t>
  </si>
  <si>
    <t>Action de prévention / preuve</t>
  </si>
  <si>
    <t>Point de vigilance : les seuils C2P ne remplacent pas l'obligation générale de prévention. Une exposition sous les seuils C2P peut néanmoins nécessiter des actions de prévention dans le DUERP.</t>
  </si>
  <si>
    <t>PAPRIPACT – PROGRAMME ANNUEL INTÉGRÉ AU DUERP</t>
  </si>
  <si>
    <t>Alimentation automatique depuis les unités de travail. Un risque entre si son risque résiduel atteint le seuil ou si l'inscription est forcée. Après réduction du risque, la ligne reste tracée et passe en état maîtrisé ; elle n'est pas supprimée automatiquement.</t>
  </si>
  <si>
    <t>Seuil d'entrée automatique</t>
  </si>
  <si>
    <t>Année du programme</t>
  </si>
  <si>
    <t>Traçabilité : maintien des actions maîtrisées pour le bilan annuel et la présentation au CSE.</t>
  </si>
  <si>
    <t>ID source</t>
  </si>
  <si>
    <t>Source</t>
  </si>
  <si>
    <t>UT / secteur</t>
  </si>
  <si>
    <t>Danger</t>
  </si>
  <si>
    <t>Risque / enjeu</t>
  </si>
  <si>
    <t>Risque brut</t>
  </si>
  <si>
    <t>Risque résiduel actuel</t>
  </si>
  <si>
    <t>Seuil</t>
  </si>
  <si>
    <t>Mode d'inscription</t>
  </si>
  <si>
    <t>État automatique PAPRIPACT</t>
  </si>
  <si>
    <t>Priorité</t>
  </si>
  <si>
    <t>Objectif de prévention</t>
  </si>
  <si>
    <t>Mesure détaillée à réaliser</t>
  </si>
  <si>
    <t>Type de mesure</t>
  </si>
  <si>
    <t>Conditions d'exécution (réglementaire)</t>
  </si>
  <si>
    <t>Contributeurs</t>
  </si>
  <si>
    <t>Ressources mobilisables (réglementaire)</t>
  </si>
  <si>
    <t>Budget estimé € (réglementaire)</t>
  </si>
  <si>
    <t>Date début</t>
  </si>
  <si>
    <t>Échéance / calendrier (réglementaire)</t>
  </si>
  <si>
    <t>Indicateur de résultat (réglementaire)</t>
  </si>
  <si>
    <t>Cible</t>
  </si>
  <si>
    <t>Valeur obtenue</t>
  </si>
  <si>
    <t>Avancement</t>
  </si>
  <si>
    <t>Statut</t>
  </si>
  <si>
    <t>Date de vérification</t>
  </si>
  <si>
    <t>Décision / observation CSE</t>
  </si>
  <si>
    <t>Motif report / non-réalisation</t>
  </si>
  <si>
    <t>Preuve / lien documentaire</t>
  </si>
  <si>
    <t>Évolution du risque</t>
  </si>
  <si>
    <t>TABLEAU DE BORD DUERP</t>
  </si>
  <si>
    <t>Indicateur</t>
  </si>
  <si>
    <t>Valeur</t>
  </si>
  <si>
    <t>Navigation</t>
  </si>
  <si>
    <t>Risques évalués</t>
  </si>
  <si>
    <t>Risques significatifs actuels</t>
  </si>
  <si>
    <t>Risques PAPRIPACT actifs</t>
  </si>
  <si>
    <t>Risques maîtrisés / à vérifier</t>
  </si>
  <si>
    <t>Risques maîtrisés / clôturables</t>
  </si>
  <si>
    <t>Actions clôturées</t>
  </si>
  <si>
    <t>Actions en retard</t>
  </si>
  <si>
    <t>Taux de maîtrise</t>
  </si>
  <si>
    <t>Statut actions</t>
  </si>
  <si>
    <t>Nombre</t>
  </si>
  <si>
    <t>Significatifs</t>
  </si>
  <si>
    <t>Actions ouvertes</t>
  </si>
  <si>
    <t>À lancer</t>
  </si>
  <si>
    <t>En cours</t>
  </si>
  <si>
    <t>Bloquée</t>
  </si>
  <si>
    <t>Clôturée</t>
  </si>
  <si>
    <t>TRAME PAPRIPACT – PROGRAMME ANNUEL DE PRÉVENTION DES RISQUES PROFESSIONNELS ET D'AMÉLIORATION DES CONDITIONS DE TRAVAIL</t>
  </si>
  <si>
    <t>Champ</t>
  </si>
  <si>
    <t>À renseigner</t>
  </si>
  <si>
    <t>Cadre d'utilisation</t>
  </si>
  <si>
    <t>Entreprise</t>
  </si>
  <si>
    <t>Cette trame est conçue pour une entreprise d'au moins 50 salariés. Le PAPRIPACT découle des résultats du DUERP. Il doit détailler les mesures prévues pour l'année à venir, leurs conditions d'exécution, leurs indicateurs de résultat, leur coût estimé, les ressources mobilisables et leur calendrier. Il est présenté au CSE dans le cadre de la consultation sur la politique sociale, les conditions de travail et l'emploi. Le CSE peut proposer un ordre de priorité et des mesures supplémentaires. Les mesures non réalisées doivent être expliquées dans le bilan annuel.</t>
  </si>
  <si>
    <t>Établissement(s)</t>
  </si>
  <si>
    <t>Effectif</t>
  </si>
  <si>
    <t>Date de mise à jour DUERP</t>
  </si>
  <si>
    <t>Date de présentation au CSE</t>
  </si>
  <si>
    <t>Période couverte</t>
  </si>
  <si>
    <t>Responsable du programme</t>
  </si>
  <si>
    <t>Cycle recommandé de pilotage</t>
  </si>
  <si>
    <t>1</t>
  </si>
  <si>
    <t>Mettre à jour le DUERP</t>
  </si>
  <si>
    <t>Évaluation des risques par unité de travail, après changements et événements significatifs.</t>
  </si>
  <si>
    <t>2</t>
  </si>
  <si>
    <t>Sélectionner les priorités</t>
  </si>
  <si>
    <t>Risques significatifs, obligations réglementaires, AT/MP, signaux CSE/SPST, pénibilité, RPS, projets de transformation.</t>
  </si>
  <si>
    <t>3</t>
  </si>
  <si>
    <t>Construire le PAPRIPACT</t>
  </si>
  <si>
    <t>Définir des mesures précises, responsables, moyens, coûts, indicateurs et échéances.</t>
  </si>
  <si>
    <t>4</t>
  </si>
  <si>
    <t>Présenter au CSE</t>
  </si>
  <si>
    <t>Présenter bilan N-1 + programme N ; recueillir l'avis et les propositions de priorité/mesures.</t>
  </si>
  <si>
    <t>5</t>
  </si>
  <si>
    <t>Piloter dans l'année</t>
  </si>
  <si>
    <t>Revue périodique, suivi des retards, arbitrages, preuves d'efficacité.</t>
  </si>
  <si>
    <t>6</t>
  </si>
  <si>
    <t>Clôturer et expliquer</t>
  </si>
  <si>
    <t>Évaluer l'efficacité ; justifier les mesures prévues mais non réalisées dans le bilan annuel.</t>
  </si>
  <si>
    <t>BILAN ANNUEL SANTÉ, SÉCURITÉ ET CONDITIONS DE TRAVAIL – SUPPORT CSE</t>
  </si>
  <si>
    <t>Bilan qualitatif à présenter au CSE</t>
  </si>
  <si>
    <t>Mesures programmées</t>
  </si>
  <si>
    <t>Faits marquants SST / conditions de travail de l'année écoulée
À compléter…</t>
  </si>
  <si>
    <t>Mesures clôturées</t>
  </si>
  <si>
    <t>Mesures en cours</t>
  </si>
  <si>
    <t>Mesures bloquées</t>
  </si>
  <si>
    <t>Mesures reportées</t>
  </si>
  <si>
    <t>Analyse des accidents, incidents, maladies professionnelles et signaux faibles
À compléter…</t>
  </si>
  <si>
    <t>Mesures en retard</t>
  </si>
  <si>
    <t>Taux de clôture</t>
  </si>
  <si>
    <t>Travail de nuit et prévention des effets de l'exposition aux facteurs de risques professionnels
À compléter…</t>
  </si>
  <si>
    <t>Mesures non réalisées : motifs d'inexécution et arbitrages
À compléter…</t>
  </si>
  <si>
    <t>Reportée</t>
  </si>
  <si>
    <t>Enseignements / priorités proposées pour l'année suivante
À compléter…</t>
  </si>
  <si>
    <t>PRÉSENTATION / AVIS DU CSE – PAPRIPACT</t>
  </si>
  <si>
    <t>Ordre du jour recommandé</t>
  </si>
  <si>
    <t>1. Bilan N-1</t>
  </si>
  <si>
    <t>Situation générale santé, sécurité et conditions de travail ; actions réalisées ; travail de nuit ; facteurs de risques professionnels.</t>
  </si>
  <si>
    <t>2. Évolution du DUERP</t>
  </si>
  <si>
    <t>Principales évolutions de l'évaluation des risques, événements déclencheurs et risques prioritaires.</t>
  </si>
  <si>
    <t>3. Projet PAPRIPACT N</t>
  </si>
  <si>
    <t>Objectifs, mesures, moyens, coûts, calendrier, indicateurs et responsabilités.</t>
  </si>
  <si>
    <t>4. Arbitrages</t>
  </si>
  <si>
    <t>Mesures reportées/non réalisées, motifs, ressources et priorités.</t>
  </si>
  <si>
    <t>5. Avis du CSE</t>
  </si>
  <si>
    <t>Ordre de priorité proposé par le CSE et éventuelles mesures supplémentaires.</t>
  </si>
  <si>
    <t>6. Suivi</t>
  </si>
  <si>
    <t>Périodicité des revues et modalités de restitution au CSE/CSSCT.</t>
  </si>
  <si>
    <t>Traçabilité de l'avis</t>
  </si>
  <si>
    <t>Date de réunion</t>
  </si>
  <si>
    <t>Instance</t>
  </si>
  <si>
    <t>CSE / CSSCT</t>
  </si>
  <si>
    <t>Avis rendu</t>
  </si>
  <si>
    <t>Priorités proposées par le CSE</t>
  </si>
  <si>
    <t>Mesures supplémentaires demandées</t>
  </si>
  <si>
    <t>Réponse / arbitrage employeur</t>
  </si>
  <si>
    <t>Référence du procès-verbal</t>
  </si>
  <si>
    <t>RÉFÉRENCES RÉGLEMENTAIRES – PAPRIPACT / DUERP / CSE</t>
  </si>
  <si>
    <t>Référence</t>
  </si>
  <si>
    <t>Exigence intégrée dans la trame</t>
  </si>
  <si>
    <t>Application pratique</t>
  </si>
  <si>
    <t>Source officielle</t>
  </si>
  <si>
    <t>Code du travail L.4121-1 à L.4121-5</t>
  </si>
  <si>
    <t>Obligation générale de sécurité et principes généraux de prévention.</t>
  </si>
  <si>
    <t>Les mesures du programme doivent privilégier suppression/réduction à la source et prévention collective.</t>
  </si>
  <si>
    <t>https://www.legifrance.gouv.fr/codes/id/LEGISCTA000006178066/</t>
  </si>
  <si>
    <t>Code du travail L.4121-3-1 III 1°</t>
  </si>
  <si>
    <t>PAPRIPACT obligatoire à partir de 50 salariés ; liste détaillée des mesures ; conditions d'exécution ; indicateurs ; coût ; ressources ; calendrier.</t>
  </si>
  <si>
    <t>Colonnes dédiées dans l'onglet PAPRIPACT.</t>
  </si>
  <si>
    <t>https://www.legifrance.gouv.fr/codes/article_lc/LEGIARTI000043893919/</t>
  </si>
  <si>
    <t>Code du travail L.2312-26</t>
  </si>
  <si>
    <t>Consultation annuelle du CSE sur la politique sociale, les conditions de travail et l'emploi, incluant les actions de prévention SST.</t>
  </si>
  <si>
    <t>Support de présentation CSE et bilan annuel.</t>
  </si>
  <si>
    <t>https://www.legifrance.gouv.fr/codes/article_lc/LEGIARTI000052450379/</t>
  </si>
  <si>
    <t>Code du travail L.2312-27</t>
  </si>
  <si>
    <t>Présentation au CSE du rapport annuel SST et du PAPRIPACT ; possibilité pour le CSE de proposer priorités et mesures supplémentaires ; justification des mesures non réalisées.</t>
  </si>
  <si>
    <t>Onglets Bilan annuel et Présentation CSE.</t>
  </si>
  <si>
    <t>https://www.legifrance.gouv.fr/codes/article_lc/LEGIARTI000043893927/</t>
  </si>
  <si>
    <t>Code du travail L.4161-1</t>
  </si>
  <si>
    <t>Facteurs de risques professionnels à prendre en compte.</t>
  </si>
  <si>
    <t>Origine « Pénibilité / C2P » et rubrique spécifique du bilan.</t>
  </si>
  <si>
    <t>https://www.legifrance.gouv.fr/codes/article_lc/LEGIARTI000043893928/</t>
  </si>
  <si>
    <t>Origine</t>
  </si>
  <si>
    <t>Décision CSE</t>
  </si>
  <si>
    <t>P1 - Critique</t>
  </si>
  <si>
    <t>DUERP</t>
  </si>
  <si>
    <t>Suppression du risque</t>
  </si>
  <si>
    <t>0%</t>
  </si>
  <si>
    <t>Avis favorable</t>
  </si>
  <si>
    <t>P2 - Haute</t>
  </si>
  <si>
    <t>Accident / incident</t>
  </si>
  <si>
    <t>Substitution / réduction à la source</t>
  </si>
  <si>
    <t>25%</t>
  </si>
  <si>
    <t>Avis avec observations</t>
  </si>
  <si>
    <t>P3 - Moyenne</t>
  </si>
  <si>
    <t>Protection collective</t>
  </si>
  <si>
    <t>50%</t>
  </si>
  <si>
    <t>Demande de mesure supplémentaire</t>
  </si>
  <si>
    <t>P4 - Basse</t>
  </si>
  <si>
    <t>Inspection / audit</t>
  </si>
  <si>
    <t>Organisation / procédure</t>
  </si>
  <si>
    <t>75%</t>
  </si>
  <si>
    <t>À revoir</t>
  </si>
  <si>
    <t>Médecine du travail / SPST</t>
  </si>
  <si>
    <t>Formation / information</t>
  </si>
  <si>
    <t>100%</t>
  </si>
  <si>
    <t>Pénibilité / C2P</t>
  </si>
  <si>
    <t>EPI</t>
  </si>
  <si>
    <t>Veille réglementaire</t>
  </si>
  <si>
    <t>Amélioration des conditions de travail</t>
  </si>
  <si>
    <t>RPS / QVCT</t>
  </si>
  <si>
    <t>Mesure de suivi / contrôle</t>
  </si>
  <si>
    <t>Autre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</si>
</sst>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40C]mmmm\-yy;@"/>
    <numFmt numFmtId="167" formatCode="#,##0.00\ &quot;€&quot;"/>
  </numFmts>
  <fonts count="54">
    <font>
      <sz val="10"/>
      <name val="Arial"/>
    </font>
    <font>
      <sz val="10"/>
      <color rgb="FF0055A0"/>
      <name val="Calibri"/>
    </font>
    <font>
      <sz val="10"/>
      <name val="Calibri"/>
    </font>
    <font>
      <b/>
      <sz val="10"/>
      <name val="Calibri"/>
    </font>
    <font>
      <sz val="10"/>
      <color theme="3"/>
      <name val="Calibri"/>
    </font>
    <font>
      <b/>
      <sz val="10"/>
      <color theme="3"/>
      <name val="Calibri"/>
    </font>
    <font>
      <b/>
      <sz val="10"/>
      <color rgb="FFFF0000"/>
      <name val="Calibri"/>
    </font>
    <font>
      <sz val="10"/>
      <color theme="3"/>
      <name val="Arial"/>
    </font>
    <font>
      <b/>
      <sz val="10"/>
      <color rgb="FF0055A0"/>
      <name val="Calibri"/>
    </font>
    <font>
      <b/>
      <sz val="14"/>
      <color rgb="FF0055A0"/>
      <name val="Calibri"/>
    </font>
    <font>
      <b/>
      <sz val="26"/>
      <color rgb="FF0055A0"/>
      <name val="Calibri"/>
    </font>
    <font>
      <sz val="16"/>
      <name val="Castellar"/>
    </font>
    <font>
      <b/>
      <sz val="24"/>
      <color indexed="18"/>
      <name val="Calibri"/>
    </font>
    <font>
      <sz val="20"/>
      <name val="Calibri Light"/>
    </font>
    <font>
      <sz val="10"/>
      <name val="Calibri Light"/>
    </font>
    <font>
      <sz val="10"/>
      <name val="Arial"/>
    </font>
    <font>
      <b/>
      <sz val="16"/>
      <name val="Calibri Light"/>
    </font>
    <font>
      <sz val="18"/>
      <name val="Calibri Light"/>
    </font>
    <font>
      <sz val="16"/>
      <name val="Calibri Light"/>
    </font>
    <font>
      <sz val="10"/>
      <color indexed="12"/>
      <name val="Arial"/>
    </font>
    <font>
      <b/>
      <sz val="10"/>
      <name val="Arial"/>
    </font>
    <font>
      <sz val="14"/>
      <name val="Calibri Light"/>
    </font>
    <font>
      <sz val="12"/>
      <name val="Calibri Light"/>
    </font>
    <font>
      <b/>
      <sz val="12"/>
      <name val="Calibri Light"/>
    </font>
    <font>
      <sz val="12"/>
      <name val="Calibri"/>
    </font>
    <font>
      <sz val="14"/>
      <name val="Calibri"/>
    </font>
    <font>
      <sz val="14"/>
      <name val="Calibri"/>
    </font>
    <font>
      <sz val="14"/>
      <color indexed="12"/>
      <name val="Calibri"/>
    </font>
    <font>
      <b/>
      <sz val="14"/>
      <name val="Calibri"/>
    </font>
    <font>
      <sz val="12"/>
      <color indexed="12"/>
      <name val="Calibri"/>
    </font>
    <font>
      <b/>
      <sz val="10"/>
      <name val="Calibri Light"/>
    </font>
    <font>
      <sz val="10"/>
      <name val="Calibri"/>
    </font>
    <font>
      <sz val="10"/>
      <color indexed="12"/>
      <name val="Calibri"/>
    </font>
    <font>
      <sz val="10"/>
      <color rgb="FF202124"/>
      <name val="Calibri"/>
    </font>
    <font>
      <sz val="20"/>
      <name val="Calibri"/>
    </font>
    <font>
      <b/>
      <sz val="20"/>
      <name val="Calibri Light"/>
    </font>
    <font>
      <sz val="20"/>
      <name val="Calibri"/>
    </font>
    <font>
      <b/>
      <sz val="20"/>
      <name val="Calibri"/>
    </font>
    <font>
      <b/>
      <sz val="20"/>
      <name val="Calibri"/>
    </font>
    <font>
      <b/>
      <sz val="14"/>
      <name val="Calibri Light"/>
    </font>
    <font>
      <sz val="16"/>
      <name val="Calibri"/>
    </font>
    <font>
      <b/>
      <sz val="10"/>
      <color rgb="FFFFFFFF"/>
      <name val="Arial"/>
    </font>
    <font>
      <b/>
      <sz val="14"/>
      <color rgb="FFFFFFFF"/>
      <name val="Calibri "/>
    </font>
    <font>
      <b/>
      <sz val="12"/>
      <color rgb="FFFFFFFF"/>
      <name val="Calibri Light"/>
    </font>
    <font>
      <i/>
      <sz val="12"/>
      <name val="Calibri Light"/>
    </font>
    <font>
      <b/>
      <sz val="16"/>
      <color rgb="FFFFFFFF"/>
      <name val="Arial"/>
    </font>
    <font>
      <b/>
      <sz val="10"/>
      <color rgb="FFFFFFFF"/>
      <name val="Arial"/>
    </font>
    <font>
      <b/>
      <sz val="15"/>
      <color rgb="FFFFFFFF"/>
      <name val="Arial"/>
    </font>
    <font>
      <b/>
      <sz val="14"/>
      <color rgb="FFFFFFFF"/>
      <name val="Aptos Display"/>
    </font>
    <font>
      <sz val="10"/>
      <name val="Aptos"/>
    </font>
    <font>
      <b/>
      <sz val="10"/>
      <color rgb="FFFFFFFF"/>
      <name val="Aptos"/>
    </font>
    <font>
      <b/>
      <sz val="10"/>
      <name val="Aptos"/>
    </font>
    <font>
      <b/>
      <sz val="9"/>
      <name val="Carlito"/>
    </font>
    <font>
      <sz val="9"/>
      <name val="Carlito"/>
    </font>
  </fonts>
  <fills count="24">
    <fill>
      <patternFill patternType="none"/>
    </fill>
    <fill>
      <patternFill patternType="gray125"/>
    </fill>
    <fill>
      <patternFill patternType="solid">
        <fgColor rgb="FF92D050"/>
      </patternFill>
    </fill>
    <fill>
      <patternFill patternType="solid">
        <fgColor rgb="FFFFFF00"/>
      </patternFill>
    </fill>
    <fill>
      <patternFill patternType="solid">
        <fgColor theme="9"/>
      </patternFill>
    </fill>
    <fill>
      <patternFill patternType="solid">
        <fgColor rgb="FFFF0000"/>
      </patternFill>
    </fill>
    <fill>
      <patternFill patternType="solid">
        <fgColor theme="3" tint="0.79995117038483843"/>
        <bgColor indexed="65"/>
      </patternFill>
    </fill>
    <fill>
      <patternFill patternType="solid">
        <fgColor theme="0" tint="-4.9989318521683403E-2"/>
        <bgColor indexed="65"/>
      </patternFill>
    </fill>
    <fill>
      <patternFill patternType="solid">
        <fgColor theme="2"/>
      </patternFill>
    </fill>
    <fill>
      <patternFill patternType="solid">
        <fgColor indexed="9"/>
      </patternFill>
    </fill>
    <fill>
      <patternFill patternType="solid">
        <fgColor indexed="42"/>
      </patternFill>
    </fill>
    <fill>
      <patternFill patternType="solid">
        <fgColor theme="7" tint="0.39997558519241921"/>
        <bgColor indexed="65"/>
      </patternFill>
    </fill>
    <fill>
      <patternFill patternType="solid">
        <fgColor theme="9" tint="0.39997558519241921"/>
        <bgColor indexed="65"/>
      </patternFill>
    </fill>
    <fill>
      <patternFill patternType="solid">
        <fgColor rgb="FF00B0F0"/>
      </patternFill>
    </fill>
    <fill>
      <patternFill patternType="solid">
        <fgColor rgb="FF1F4E78"/>
      </patternFill>
    </fill>
    <fill>
      <patternFill patternType="solid">
        <fgColor rgb="FFE7E6E6"/>
      </patternFill>
    </fill>
    <fill>
      <patternFill patternType="solid">
        <fgColor rgb="FFEAF3F8"/>
      </patternFill>
    </fill>
    <fill>
      <patternFill patternType="solid">
        <fgColor rgb="FFD9EAF7"/>
      </patternFill>
    </fill>
    <fill>
      <patternFill patternType="solid">
        <fgColor rgb="FFFCE4D6"/>
      </patternFill>
    </fill>
    <fill>
      <patternFill patternType="solid">
        <fgColor rgb="FF17365D"/>
      </patternFill>
    </fill>
    <fill>
      <patternFill patternType="solid">
        <fgColor rgb="FFF3F6F9"/>
      </patternFill>
    </fill>
    <fill>
      <patternFill patternType="solid">
        <fgColor rgb="FFFCE4D6"/>
      </patternFill>
    </fill>
    <fill>
      <patternFill patternType="solid">
        <fgColor rgb="FF17365D"/>
      </patternFill>
    </fill>
    <fill>
      <patternFill patternType="solid">
        <fgColor rgb="FFF3F6F9"/>
      </patternFill>
    </fill>
  </fills>
  <borders count="60">
    <border>
      <left/>
      <right/>
      <top/>
      <bottom/>
      <diagonal/>
    </border>
    <border>
      <left/>
      <right style="thin">
        <color rgb="FF0055A0"/>
      </right>
      <top style="thin">
        <color rgb="FF0055A0"/>
      </top>
      <bottom style="medium">
        <color rgb="FF0055A0"/>
      </bottom>
      <diagonal/>
    </border>
    <border>
      <left style="dashed">
        <color rgb="FF0055A0"/>
      </left>
      <right/>
      <top style="dashed">
        <color rgb="FF0055A0"/>
      </top>
      <bottom style="dashed">
        <color rgb="FF0055A0"/>
      </bottom>
      <diagonal/>
    </border>
    <border>
      <left style="medium">
        <color indexed="64"/>
      </left>
      <right style="mediumDashDot">
        <color rgb="FF0055A0"/>
      </right>
      <top/>
      <bottom/>
      <diagonal/>
    </border>
    <border>
      <left style="mediumDashDot">
        <color rgb="FF0055A0"/>
      </left>
      <right style="dashed">
        <color rgb="FF0055A0"/>
      </right>
      <top style="dashed">
        <color rgb="FF0055A0"/>
      </top>
      <bottom style="dashed">
        <color rgb="FF0055A0"/>
      </bottom>
      <diagonal/>
    </border>
    <border>
      <left style="dashed">
        <color rgb="FF0055A0"/>
      </left>
      <right style="dashed">
        <color rgb="FF0055A0"/>
      </right>
      <top style="dashed">
        <color rgb="FF0055A0"/>
      </top>
      <bottom style="dashed">
        <color rgb="FF0055A0"/>
      </bottom>
      <diagonal/>
    </border>
    <border>
      <left style="mediumDashDot">
        <color rgb="FF0055A0"/>
      </left>
      <right style="mediumDashDot">
        <color rgb="FF0055A0"/>
      </right>
      <top style="dashed">
        <color rgb="FF0055A0"/>
      </top>
      <bottom style="dashed">
        <color rgb="FF0055A0"/>
      </bottom>
      <diagonal/>
    </border>
    <border>
      <left style="dashed">
        <color rgb="FF0055A0"/>
      </left>
      <right style="mediumDashDot">
        <color rgb="FF0055A0"/>
      </right>
      <top style="dashed">
        <color rgb="FF0055A0"/>
      </top>
      <bottom style="dashed">
        <color rgb="FF0055A0"/>
      </bottom>
      <diagonal/>
    </border>
    <border>
      <left style="mediumDashDot">
        <color rgb="FF0055A0"/>
      </left>
      <right style="medium">
        <color indexed="64"/>
      </right>
      <top style="dashed">
        <color rgb="FF0055A0"/>
      </top>
      <bottom style="dashed">
        <color rgb="FF0055A0"/>
      </bottom>
      <diagonal/>
    </border>
    <border>
      <left style="mediumDashDot">
        <color rgb="FF0055A0"/>
      </left>
      <right style="dashed">
        <color rgb="FF0055A0"/>
      </right>
      <top/>
      <bottom style="dashed">
        <color rgb="FF0055A0"/>
      </bottom>
      <diagonal/>
    </border>
    <border>
      <left style="mediumDashDot">
        <color rgb="FF0055A0"/>
      </left>
      <right style="dashed">
        <color rgb="FF0055A0"/>
      </right>
      <top style="dashed">
        <color rgb="FF0055A0"/>
      </top>
      <bottom/>
      <diagonal/>
    </border>
    <border>
      <left style="mediumDashDot">
        <color rgb="FF0055A0"/>
      </left>
      <right style="mediumDashDot">
        <color rgb="FF0055A0"/>
      </right>
      <top/>
      <bottom style="dashed">
        <color rgb="FF0055A0"/>
      </bottom>
      <diagonal/>
    </border>
    <border>
      <left style="dashed">
        <color rgb="FF0055A0"/>
      </left>
      <right style="dashed">
        <color rgb="FF0055A0"/>
      </right>
      <top style="dashed">
        <color rgb="FF0055A0"/>
      </top>
      <bottom/>
      <diagonal/>
    </border>
    <border>
      <left style="mediumDashDot">
        <color rgb="FF0055A0"/>
      </left>
      <right style="dashed">
        <color rgb="FF0055A0"/>
      </right>
      <top/>
      <bottom/>
      <diagonal/>
    </border>
    <border>
      <left style="dashed">
        <color rgb="FF0055A0"/>
      </left>
      <right/>
      <top style="dashed">
        <color rgb="FF0055A0"/>
      </top>
      <bottom/>
      <diagonal/>
    </border>
    <border>
      <left style="mediumDashDot">
        <color rgb="FF0055A0"/>
      </left>
      <right style="mediumDashDot">
        <color rgb="FF0055A0"/>
      </right>
      <top style="dashed">
        <color rgb="FF0055A0"/>
      </top>
      <bottom/>
      <diagonal/>
    </border>
    <border>
      <left style="dashed">
        <color rgb="FF0055A0"/>
      </left>
      <right style="dashed">
        <color rgb="FF0055A0"/>
      </right>
      <top/>
      <bottom/>
      <diagonal/>
    </border>
    <border>
      <left style="mediumDashDot">
        <color rgb="FF0055A0"/>
      </left>
      <right style="mediumDashDot">
        <color rgb="FF0055A0"/>
      </right>
      <top/>
      <bottom/>
      <diagonal/>
    </border>
    <border>
      <left style="dashed">
        <color rgb="FF0055A0"/>
      </left>
      <right/>
      <top/>
      <bottom style="dashed">
        <color rgb="FF0055A0"/>
      </bottom>
      <diagonal/>
    </border>
    <border>
      <left style="dashed">
        <color rgb="FF0055A0"/>
      </left>
      <right style="dashed">
        <color rgb="FF0055A0"/>
      </right>
      <top/>
      <bottom style="dashed">
        <color rgb="FF0055A0"/>
      </bottom>
      <diagonal/>
    </border>
    <border>
      <left style="mediumDashDot">
        <color rgb="FF0055A0"/>
      </left>
      <right style="medium">
        <color indexed="64"/>
      </right>
      <top/>
      <bottom style="dashed">
        <color rgb="FF0055A0"/>
      </bottom>
      <diagonal/>
    </border>
    <border>
      <left style="dashed">
        <color rgb="FF0055A0"/>
      </left>
      <right style="mediumDashDot">
        <color rgb="FF0055A0"/>
      </right>
      <top/>
      <bottom style="dashed">
        <color rgb="FF0055A0"/>
      </bottom>
      <diagonal/>
    </border>
    <border>
      <left/>
      <right style="mediumDashDot">
        <color rgb="FF0055A0"/>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medium">
        <color indexed="64"/>
      </left>
      <right/>
      <top/>
      <bottom style="medium">
        <color indexed="64"/>
      </bottom>
      <diagonal/>
    </border>
    <border>
      <left/>
      <right/>
      <top/>
      <bottom/>
      <diagonal/>
    </border>
    <border>
      <left style="mediumDashDot">
        <color rgb="FF0055A0"/>
      </left>
      <right style="dashed">
        <color rgb="FF0055A0"/>
      </right>
      <top style="dashed">
        <color rgb="FF0055A0"/>
      </top>
      <bottom style="dashed">
        <color rgb="FF0055A0"/>
      </bottom>
      <diagonal/>
    </border>
    <border>
      <left style="dashed">
        <color rgb="FF0055A0"/>
      </left>
      <right style="dashed">
        <color rgb="FF0055A0"/>
      </right>
      <top style="dashed">
        <color rgb="FF0055A0"/>
      </top>
      <bottom style="dashed">
        <color rgb="FF0055A0"/>
      </bottom>
      <diagonal/>
    </border>
    <border>
      <left style="mediumDashDot">
        <color rgb="FF0055A0"/>
      </left>
      <right style="dashed">
        <color rgb="FF0055A0"/>
      </right>
      <top/>
      <bottom style="dashed">
        <color rgb="FF0055A0"/>
      </bottom>
      <diagonal/>
    </border>
    <border>
      <left style="mediumDashDot">
        <color rgb="FF0055A0"/>
      </left>
      <right style="dashed">
        <color rgb="FF0055A0"/>
      </right>
      <top/>
      <bottom/>
      <diagonal/>
    </border>
    <border>
      <left style="dashed">
        <color rgb="FF0055A0"/>
      </left>
      <right style="dashed">
        <color rgb="FF0055A0"/>
      </right>
      <top/>
      <bottom style="dashed">
        <color rgb="FF0055A0"/>
      </bottom>
      <diagonal/>
    </border>
    <border>
      <left/>
      <right style="mediumDashDot">
        <color rgb="FF0055A0"/>
      </right>
      <top/>
      <bottom style="dashed">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mediumDashDot">
        <color rgb="FF0055A0"/>
      </right>
      <top style="dashed">
        <color indexed="64"/>
      </top>
      <bottom/>
      <diagonal/>
    </border>
    <border>
      <left/>
      <right style="mediumDashDot">
        <color rgb="FF0055A0"/>
      </right>
      <top/>
      <bottom/>
      <diagonal/>
    </border>
    <border>
      <left/>
      <right/>
      <top style="medium">
        <color rgb="FF0055A0"/>
      </top>
      <bottom style="thin">
        <color rgb="FF0055A0"/>
      </bottom>
      <diagonal/>
    </border>
    <border>
      <left/>
      <right style="medium">
        <color rgb="FF0055A0"/>
      </right>
      <top style="medium">
        <color rgb="FF0055A0"/>
      </top>
      <bottom style="thin">
        <color rgb="FF0055A0"/>
      </bottom>
      <diagonal/>
    </border>
    <border>
      <left style="medium">
        <color rgb="FF0055A0"/>
      </left>
      <right style="medium">
        <color rgb="FF0055A0"/>
      </right>
      <top/>
      <bottom style="medium">
        <color rgb="FF0055A0"/>
      </bottom>
      <diagonal/>
    </border>
    <border>
      <left style="medium">
        <color rgb="FF0055A0"/>
      </left>
      <right style="thin">
        <color rgb="FF0055A0"/>
      </right>
      <top/>
      <bottom style="medium">
        <color rgb="FF0055A0"/>
      </bottom>
      <diagonal/>
    </border>
    <border>
      <left/>
      <right style="medium">
        <color rgb="FF0055A0"/>
      </right>
      <top/>
      <bottom style="medium">
        <color rgb="FF0055A0"/>
      </bottom>
      <diagonal/>
    </border>
    <border>
      <left style="thin">
        <color rgb="FF0055A0"/>
      </left>
      <right style="thin">
        <color rgb="FF0055A0"/>
      </right>
      <top/>
      <bottom style="medium">
        <color rgb="FF0055A0"/>
      </bottom>
      <diagonal/>
    </border>
    <border>
      <left style="thin">
        <color rgb="FF0055A0"/>
      </left>
      <right style="medium">
        <color rgb="FF0055A0"/>
      </right>
      <top/>
      <bottom style="medium">
        <color rgb="FF0055A0"/>
      </bottom>
      <diagonal/>
    </border>
    <border>
      <left/>
      <right style="thin">
        <color indexed="8"/>
      </right>
      <top style="thin">
        <color indexed="8"/>
      </top>
      <bottom/>
      <diagonal/>
    </border>
    <border>
      <left style="thin">
        <color indexed="8"/>
      </left>
      <right style="thin">
        <color indexed="8"/>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rgb="FF0055A0"/>
      </left>
      <right style="thin">
        <color rgb="FF0055A0"/>
      </right>
      <top style="medium">
        <color rgb="FF0055A0"/>
      </top>
      <bottom style="medium">
        <color rgb="FF0055A0"/>
      </bottom>
      <diagonal/>
    </border>
    <border>
      <left style="thin">
        <color rgb="FF0055A0"/>
      </left>
      <right style="thin">
        <color rgb="FF0055A0"/>
      </right>
      <top style="medium">
        <color rgb="FF0055A0"/>
      </top>
      <bottom style="medium">
        <color rgb="FF0055A0"/>
      </bottom>
      <diagonal/>
    </border>
    <border>
      <left style="thin">
        <color rgb="FF0055A0"/>
      </left>
      <right style="medium">
        <color rgb="FF0055A0"/>
      </right>
      <top style="medium">
        <color rgb="FF0055A0"/>
      </top>
      <bottom style="medium">
        <color rgb="FF0055A0"/>
      </bottom>
      <diagonal/>
    </border>
    <border>
      <left style="medium">
        <color rgb="FF0055A0"/>
      </left>
      <right style="medium">
        <color rgb="FF0055A0"/>
      </right>
      <top style="medium">
        <color rgb="FF0055A0"/>
      </top>
      <bottom style="medium">
        <color rgb="FF0055A0"/>
      </bottom>
      <diagonal/>
    </border>
    <border>
      <left/>
      <right style="medium">
        <color rgb="FF0055A0"/>
      </right>
      <top style="medium">
        <color rgb="FF0055A0"/>
      </top>
      <bottom style="medium">
        <color rgb="FF0055A0"/>
      </bottom>
      <diagonal/>
    </border>
    <border>
      <left style="medium">
        <color rgb="FF0055A0"/>
      </left>
      <right style="medium">
        <color rgb="FF0055A0"/>
      </right>
      <top style="medium">
        <color rgb="FF0055A0"/>
      </top>
      <bottom style="thin">
        <color rgb="FF0055A0"/>
      </bottom>
      <diagonal/>
    </border>
    <border>
      <left/>
      <right style="mediumDashDot">
        <color rgb="FF0055A0"/>
      </right>
      <top style="dashed">
        <color indexed="64"/>
      </top>
      <bottom style="dashed">
        <color indexed="64"/>
      </bottom>
      <diagonal/>
    </border>
    <border>
      <left/>
      <right/>
      <top/>
      <bottom style="thin">
        <color indexed="8"/>
      </bottom>
      <diagonal/>
    </border>
    <border>
      <left/>
      <right style="thin">
        <color indexed="8"/>
      </right>
      <top/>
      <bottom style="thin">
        <color indexed="8"/>
      </bottom>
      <diagonal/>
    </border>
  </borders>
  <cellStyleXfs count="2">
    <xf numFmtId="0" fontId="0" fillId="0" borderId="28"/>
    <xf numFmtId="0" fontId="19" fillId="0" borderId="28">
      <alignment vertical="top"/>
      <protection locked="0"/>
    </xf>
  </cellStyleXfs>
  <cellXfs count="221">
    <xf numFmtId="0" fontId="0" fillId="0" borderId="0" xfId="0" applyBorder="1"/>
    <xf numFmtId="0" fontId="1" fillId="0" borderId="0" xfId="0" applyFont="1" applyBorder="1"/>
    <xf numFmtId="0" fontId="1" fillId="0" borderId="0" xfId="0" applyFont="1" applyBorder="1" applyAlignment="1">
      <alignment horizontal="left" vertical="center"/>
    </xf>
    <xf numFmtId="0" fontId="0" fillId="0" borderId="0" xfId="0" applyBorder="1" applyAlignment="1">
      <alignment horizontal="center" vertical="center" wrapText="1"/>
    </xf>
    <xf numFmtId="0" fontId="0" fillId="0" borderId="0" xfId="0" applyBorder="1" applyAlignment="1">
      <alignment horizontal="center" vertical="center"/>
    </xf>
    <xf numFmtId="0" fontId="2" fillId="0" borderId="0" xfId="0" applyFont="1" applyBorder="1"/>
    <xf numFmtId="0" fontId="4" fillId="2" borderId="0" xfId="0" applyFont="1" applyFill="1" applyBorder="1" applyAlignment="1">
      <alignment horizontal="center"/>
    </xf>
    <xf numFmtId="0" fontId="5" fillId="2" borderId="0" xfId="0" applyFont="1" applyFill="1" applyBorder="1" applyAlignment="1">
      <alignment horizontal="left"/>
    </xf>
    <xf numFmtId="0" fontId="1" fillId="3" borderId="0" xfId="0" applyFont="1" applyFill="1" applyBorder="1"/>
    <xf numFmtId="0" fontId="6" fillId="0" borderId="0" xfId="0" applyFont="1" applyBorder="1"/>
    <xf numFmtId="14" fontId="6" fillId="0" borderId="0" xfId="0" applyNumberFormat="1" applyFont="1" applyBorder="1" applyAlignment="1">
      <alignment horizontal="left" vertical="center"/>
    </xf>
    <xf numFmtId="0" fontId="7" fillId="0" borderId="0" xfId="0" applyFont="1" applyBorder="1"/>
    <xf numFmtId="0" fontId="1" fillId="4" borderId="0" xfId="0" applyFont="1" applyFill="1" applyBorder="1"/>
    <xf numFmtId="0" fontId="8" fillId="4" borderId="0" xfId="0" applyFont="1" applyFill="1" applyBorder="1"/>
    <xf numFmtId="0" fontId="2" fillId="5" borderId="0" xfId="0" applyFont="1" applyFill="1" applyBorder="1"/>
    <xf numFmtId="0" fontId="1" fillId="5" borderId="0" xfId="0" applyFont="1" applyFill="1" applyBorder="1"/>
    <xf numFmtId="0" fontId="8" fillId="6" borderId="1" xfId="0" applyFont="1" applyFill="1" applyBorder="1" applyAlignment="1">
      <alignment horizontal="center" vertical="center" wrapText="1"/>
    </xf>
    <xf numFmtId="164" fontId="8" fillId="0" borderId="2" xfId="0" applyNumberFormat="1" applyFont="1" applyBorder="1" applyAlignment="1">
      <alignment horizontal="center"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8" fillId="0" borderId="5" xfId="0" applyFont="1" applyBorder="1" applyAlignment="1">
      <alignment horizontal="center" vertical="center"/>
    </xf>
    <xf numFmtId="165" fontId="1" fillId="0" borderId="6" xfId="0" applyNumberFormat="1" applyFont="1" applyBorder="1" applyAlignment="1">
      <alignment horizontal="justify" vertical="center" wrapText="1"/>
    </xf>
    <xf numFmtId="0" fontId="8" fillId="0" borderId="4" xfId="0" applyFont="1" applyBorder="1" applyAlignment="1">
      <alignment horizontal="center" vertical="center"/>
    </xf>
    <xf numFmtId="0" fontId="8" fillId="0" borderId="7" xfId="0" applyFont="1" applyBorder="1" applyAlignment="1">
      <alignment horizontal="center" vertical="center"/>
    </xf>
    <xf numFmtId="2" fontId="8" fillId="8" borderId="4" xfId="0" applyNumberFormat="1" applyFont="1" applyFill="1" applyBorder="1" applyAlignment="1">
      <alignment horizontal="center" vertical="center"/>
    </xf>
    <xf numFmtId="165" fontId="1" fillId="0" borderId="6" xfId="0" applyNumberFormat="1" applyFont="1" applyBorder="1" applyAlignment="1">
      <alignment horizontal="justify" vertical="justify" wrapText="1"/>
    </xf>
    <xf numFmtId="165" fontId="1" fillId="0" borderId="8" xfId="0" applyNumberFormat="1" applyFont="1" applyBorder="1" applyAlignment="1">
      <alignment horizontal="justify" vertical="justify" wrapText="1"/>
    </xf>
    <xf numFmtId="0" fontId="1" fillId="0" borderId="9" xfId="0" applyFont="1" applyBorder="1" applyAlignment="1">
      <alignment horizontal="left" vertical="center" wrapText="1"/>
    </xf>
    <xf numFmtId="0" fontId="1" fillId="0" borderId="6" xfId="0" applyFont="1" applyBorder="1" applyAlignment="1">
      <alignment horizontal="left" vertical="center" wrapText="1"/>
    </xf>
    <xf numFmtId="0" fontId="1" fillId="0" borderId="13" xfId="0" applyFont="1" applyBorder="1" applyAlignment="1">
      <alignment horizontal="left" vertical="center" wrapText="1"/>
    </xf>
    <xf numFmtId="0" fontId="1" fillId="9" borderId="2" xfId="0" applyFont="1" applyFill="1" applyBorder="1" applyAlignment="1">
      <alignment horizontal="left" vertical="center" wrapText="1"/>
    </xf>
    <xf numFmtId="0" fontId="1" fillId="0" borderId="11" xfId="0" applyFont="1" applyBorder="1" applyAlignment="1">
      <alignment horizontal="left" vertical="center" wrapText="1"/>
    </xf>
    <xf numFmtId="165" fontId="1" fillId="0" borderId="6" xfId="0" applyNumberFormat="1" applyFont="1" applyBorder="1" applyAlignment="1">
      <alignment vertical="center" wrapText="1"/>
    </xf>
    <xf numFmtId="0" fontId="1" fillId="0" borderId="6" xfId="0" applyFont="1" applyBorder="1" applyAlignment="1">
      <alignment vertical="center" wrapText="1"/>
    </xf>
    <xf numFmtId="0" fontId="1" fillId="0" borderId="10" xfId="0" applyFont="1" applyBorder="1" applyAlignment="1">
      <alignment horizontal="left" vertical="center" wrapText="1"/>
    </xf>
    <xf numFmtId="165" fontId="1" fillId="0" borderId="6" xfId="0" applyNumberFormat="1" applyFont="1" applyBorder="1" applyAlignment="1">
      <alignment horizontal="left" vertical="justify" wrapText="1"/>
    </xf>
    <xf numFmtId="0" fontId="10" fillId="0" borderId="3" xfId="0" applyFont="1" applyBorder="1" applyAlignment="1">
      <alignment vertical="center" wrapText="1"/>
    </xf>
    <xf numFmtId="0" fontId="1" fillId="0" borderId="15"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9" xfId="0" applyFont="1" applyBorder="1" applyAlignment="1">
      <alignment horizontal="left" vertical="center" wrapText="1"/>
    </xf>
    <xf numFmtId="0" fontId="1" fillId="0" borderId="18" xfId="0" applyFont="1" applyBorder="1" applyAlignment="1">
      <alignment horizontal="left" vertical="center" wrapText="1"/>
    </xf>
    <xf numFmtId="0" fontId="8" fillId="0" borderId="16" xfId="0" applyFont="1" applyBorder="1" applyAlignment="1">
      <alignment horizontal="center" vertical="center"/>
    </xf>
    <xf numFmtId="0" fontId="8" fillId="0" borderId="9" xfId="0" applyFont="1" applyBorder="1" applyAlignment="1">
      <alignment horizontal="center" vertical="center"/>
    </xf>
    <xf numFmtId="0" fontId="8" fillId="0" borderId="19" xfId="0" applyFont="1" applyBorder="1" applyAlignment="1">
      <alignment horizontal="center" vertical="center"/>
    </xf>
    <xf numFmtId="0" fontId="8" fillId="0" borderId="21" xfId="0" applyFont="1" applyBorder="1" applyAlignment="1">
      <alignment horizontal="center" vertical="center"/>
    </xf>
    <xf numFmtId="2" fontId="8" fillId="8" borderId="9" xfId="0" applyNumberFormat="1" applyFont="1" applyFill="1" applyBorder="1" applyAlignment="1">
      <alignment horizontal="center" vertical="center"/>
    </xf>
    <xf numFmtId="164" fontId="8" fillId="0" borderId="18" xfId="0" applyNumberFormat="1" applyFont="1" applyBorder="1" applyAlignment="1">
      <alignment horizontal="center" vertical="center"/>
    </xf>
    <xf numFmtId="165" fontId="1" fillId="0" borderId="11" xfId="0" applyNumberFormat="1" applyFont="1" applyBorder="1" applyAlignment="1">
      <alignment horizontal="left" vertical="justify" wrapText="1"/>
    </xf>
    <xf numFmtId="165" fontId="1" fillId="0" borderId="20" xfId="0" applyNumberFormat="1" applyFont="1" applyBorder="1" applyAlignment="1">
      <alignment horizontal="left" vertical="justify" wrapText="1"/>
    </xf>
    <xf numFmtId="166" fontId="1" fillId="0" borderId="6" xfId="0" applyNumberFormat="1" applyFont="1" applyBorder="1" applyAlignment="1">
      <alignment horizontal="left" vertical="justify" wrapText="1"/>
    </xf>
    <xf numFmtId="165" fontId="1" fillId="0" borderId="8" xfId="0" applyNumberFormat="1" applyFont="1" applyBorder="1" applyAlignment="1">
      <alignment horizontal="left" vertical="justify" wrapText="1"/>
    </xf>
    <xf numFmtId="0" fontId="1" fillId="0" borderId="18" xfId="0" applyFont="1" applyBorder="1" applyAlignment="1">
      <alignment horizontal="left" vertical="center"/>
    </xf>
    <xf numFmtId="49" fontId="1" fillId="0" borderId="11" xfId="0" applyNumberFormat="1" applyFont="1" applyBorder="1" applyAlignment="1">
      <alignment horizontal="left" vertical="justify" wrapText="1"/>
    </xf>
    <xf numFmtId="49" fontId="1" fillId="0" borderId="6" xfId="0" applyNumberFormat="1" applyFont="1" applyBorder="1" applyAlignment="1">
      <alignment horizontal="justify" vertical="justify"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9" fillId="7" borderId="22" xfId="0" applyFont="1" applyFill="1" applyBorder="1" applyAlignment="1">
      <alignment horizontal="center" vertical="center" wrapText="1"/>
    </xf>
    <xf numFmtId="0" fontId="12" fillId="0" borderId="0" xfId="0" applyFont="1" applyBorder="1" applyAlignment="1">
      <alignment horizontal="center" vertical="center" wrapText="1"/>
    </xf>
    <xf numFmtId="0" fontId="13" fillId="0" borderId="0" xfId="0" applyFont="1" applyBorder="1"/>
    <xf numFmtId="0" fontId="14" fillId="0" borderId="0" xfId="0" applyFont="1" applyBorder="1"/>
    <xf numFmtId="0" fontId="16" fillId="0" borderId="0" xfId="0" applyFont="1" applyBorder="1" applyAlignment="1">
      <alignment horizontal="left" vertical="center" wrapText="1"/>
    </xf>
    <xf numFmtId="0" fontId="17" fillId="0" borderId="0" xfId="0" applyFont="1" applyBorder="1" applyAlignment="1">
      <alignment horizontal="center" vertical="center"/>
    </xf>
    <xf numFmtId="0" fontId="18" fillId="0" borderId="0" xfId="0" applyFont="1" applyBorder="1" applyAlignment="1">
      <alignment horizontal="center" vertical="center" wrapText="1"/>
    </xf>
    <xf numFmtId="0" fontId="18" fillId="0" borderId="0" xfId="0" applyFont="1" applyBorder="1"/>
    <xf numFmtId="0" fontId="16"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4" fillId="0" borderId="0" xfId="0" applyFont="1" applyBorder="1" applyAlignment="1">
      <alignment horizontal="center" vertical="center" wrapText="1"/>
    </xf>
    <xf numFmtId="49" fontId="17" fillId="0" borderId="0" xfId="0" applyNumberFormat="1" applyFont="1" applyBorder="1" applyAlignment="1">
      <alignment horizontal="center" vertical="center" wrapText="1"/>
    </xf>
    <xf numFmtId="0" fontId="20" fillId="0" borderId="0" xfId="0" applyFont="1" applyBorder="1" applyAlignment="1">
      <alignment horizontal="center" vertical="center" wrapText="1"/>
    </xf>
    <xf numFmtId="0" fontId="15" fillId="0" borderId="0" xfId="0" applyFont="1" applyBorder="1"/>
    <xf numFmtId="0" fontId="15" fillId="0" borderId="0" xfId="0" applyFont="1" applyBorder="1" applyAlignment="1">
      <alignment horizontal="center" vertical="center" wrapText="1"/>
    </xf>
    <xf numFmtId="0" fontId="20" fillId="0" borderId="0" xfId="0" applyFont="1" applyBorder="1" applyAlignment="1">
      <alignment horizontal="center"/>
    </xf>
    <xf numFmtId="0" fontId="20" fillId="0" borderId="0" xfId="0" applyFont="1" applyBorder="1"/>
    <xf numFmtId="0" fontId="0" fillId="0" borderId="0" xfId="0" applyBorder="1" applyAlignment="1">
      <alignment horizontal="left" vertical="center" wrapText="1"/>
    </xf>
    <xf numFmtId="0" fontId="21" fillId="0" borderId="0" xfId="0" applyFont="1" applyBorder="1" applyAlignment="1">
      <alignment horizontal="left" vertical="center" wrapText="1"/>
    </xf>
    <xf numFmtId="0" fontId="22" fillId="0" borderId="0" xfId="0" applyFont="1" applyBorder="1" applyAlignment="1">
      <alignment horizontal="left" vertical="center" wrapText="1"/>
    </xf>
    <xf numFmtId="0" fontId="22" fillId="0" borderId="25" xfId="0" applyFont="1" applyBorder="1" applyAlignment="1">
      <alignment horizontal="left" vertical="center" wrapText="1"/>
    </xf>
    <xf numFmtId="0" fontId="22" fillId="0" borderId="26" xfId="0" applyFont="1" applyBorder="1" applyAlignment="1">
      <alignment horizontal="left" vertical="center" wrapText="1"/>
    </xf>
    <xf numFmtId="0" fontId="23" fillId="0" borderId="26" xfId="0" applyFont="1" applyBorder="1" applyAlignment="1">
      <alignment horizontal="left" vertical="center" wrapText="1"/>
    </xf>
    <xf numFmtId="0" fontId="25" fillId="0" borderId="0" xfId="0" applyFont="1" applyBorder="1"/>
    <xf numFmtId="0" fontId="25" fillId="0" borderId="0" xfId="0" applyFont="1" applyBorder="1" applyAlignment="1">
      <alignment horizontal="center" vertical="center" wrapText="1"/>
    </xf>
    <xf numFmtId="0" fontId="26" fillId="0" borderId="0" xfId="0" applyFont="1" applyBorder="1"/>
    <xf numFmtId="0" fontId="26" fillId="0" borderId="0" xfId="0" applyFont="1" applyBorder="1" applyAlignment="1">
      <alignment horizontal="center" vertical="center" wrapText="1"/>
    </xf>
    <xf numFmtId="0" fontId="27" fillId="0" borderId="0" xfId="1" applyFont="1" applyBorder="1" applyAlignment="1" applyProtection="1">
      <alignment horizontal="center" vertical="center" wrapText="1"/>
    </xf>
    <xf numFmtId="0" fontId="28" fillId="0" borderId="0" xfId="0" applyFont="1" applyBorder="1"/>
    <xf numFmtId="0" fontId="13" fillId="0" borderId="0" xfId="0" applyFont="1" applyBorder="1" applyAlignment="1">
      <alignment vertical="center"/>
    </xf>
    <xf numFmtId="0" fontId="19" fillId="0" borderId="0" xfId="1" applyBorder="1" applyAlignment="1" applyProtection="1"/>
    <xf numFmtId="0" fontId="24" fillId="0" borderId="0" xfId="0" applyFont="1" applyBorder="1" applyAlignment="1">
      <alignment horizontal="center" vertical="center"/>
    </xf>
    <xf numFmtId="0" fontId="24" fillId="3" borderId="0" xfId="0" applyFont="1" applyFill="1" applyBorder="1" applyAlignment="1">
      <alignment horizontal="center" vertical="center"/>
    </xf>
    <xf numFmtId="0" fontId="31" fillId="0" borderId="0" xfId="0" applyFont="1" applyBorder="1"/>
    <xf numFmtId="0" fontId="2" fillId="0" borderId="0" xfId="0" applyFont="1" applyBorder="1" applyAlignment="1">
      <alignment horizontal="left" vertical="center"/>
    </xf>
    <xf numFmtId="0" fontId="2" fillId="3" borderId="0" xfId="0" applyFont="1" applyFill="1" applyBorder="1"/>
    <xf numFmtId="0" fontId="32" fillId="0" borderId="0" xfId="1" applyFont="1" applyBorder="1" applyAlignment="1" applyProtection="1"/>
    <xf numFmtId="0" fontId="3" fillId="0" borderId="0" xfId="0" applyFont="1" applyBorder="1"/>
    <xf numFmtId="0" fontId="33" fillId="0" borderId="0" xfId="0" applyFont="1" applyBorder="1"/>
    <xf numFmtId="0" fontId="29" fillId="3" borderId="0" xfId="1" applyFont="1" applyFill="1" applyBorder="1" applyAlignment="1" applyProtection="1">
      <alignment horizontal="left" vertical="center"/>
    </xf>
    <xf numFmtId="0" fontId="2" fillId="13" borderId="0" xfId="0" applyFont="1" applyFill="1" applyBorder="1" applyAlignment="1">
      <alignment horizontal="left"/>
    </xf>
    <xf numFmtId="0" fontId="29" fillId="13" borderId="0" xfId="1" applyFont="1" applyFill="1" applyBorder="1" applyAlignment="1" applyProtection="1">
      <alignment horizontal="left" vertical="center"/>
    </xf>
    <xf numFmtId="0" fontId="2" fillId="12" borderId="0" xfId="0" applyFont="1" applyFill="1" applyBorder="1"/>
    <xf numFmtId="0" fontId="2" fillId="11" borderId="0" xfId="0" applyFont="1" applyFill="1" applyBorder="1"/>
    <xf numFmtId="0" fontId="24" fillId="12" borderId="0" xfId="0" applyFont="1" applyFill="1" applyBorder="1" applyAlignment="1">
      <alignment horizontal="center" vertical="center"/>
    </xf>
    <xf numFmtId="0" fontId="24" fillId="11" borderId="0" xfId="0" applyFont="1" applyFill="1" applyBorder="1" applyAlignment="1">
      <alignment horizontal="left" vertical="center"/>
    </xf>
    <xf numFmtId="0" fontId="24" fillId="11" borderId="0" xfId="0" applyFont="1" applyFill="1" applyBorder="1" applyAlignment="1">
      <alignment horizontal="center" vertical="center"/>
    </xf>
    <xf numFmtId="0" fontId="29" fillId="12" borderId="0" xfId="1" applyFont="1" applyFill="1" applyBorder="1" applyAlignment="1" applyProtection="1">
      <alignment horizontal="left" vertical="center"/>
    </xf>
    <xf numFmtId="0" fontId="30" fillId="0" borderId="23" xfId="0" applyFont="1" applyBorder="1" applyAlignment="1">
      <alignment horizontal="center" vertical="center" wrapText="1"/>
    </xf>
    <xf numFmtId="0" fontId="30" fillId="12" borderId="27" xfId="0" applyFont="1" applyFill="1" applyBorder="1" applyAlignment="1">
      <alignment horizontal="center" vertical="center" wrapText="1"/>
    </xf>
    <xf numFmtId="0" fontId="30" fillId="0" borderId="24" xfId="0" applyFont="1" applyBorder="1" applyAlignment="1">
      <alignment horizontal="center" vertical="center" wrapText="1"/>
    </xf>
    <xf numFmtId="0" fontId="3" fillId="0" borderId="23" xfId="0" applyFont="1" applyBorder="1" applyAlignment="1">
      <alignment horizontal="center" vertical="center"/>
    </xf>
    <xf numFmtId="0" fontId="2" fillId="0" borderId="23" xfId="0" applyFont="1" applyBorder="1" applyAlignment="1">
      <alignment horizontal="center" vertical="center"/>
    </xf>
    <xf numFmtId="0" fontId="2" fillId="0" borderId="0" xfId="0" applyFont="1" applyBorder="1" applyAlignment="1">
      <alignment horizontal="center" vertical="center"/>
    </xf>
    <xf numFmtId="0" fontId="30" fillId="10" borderId="23" xfId="0" applyFont="1" applyFill="1" applyBorder="1" applyAlignment="1">
      <alignment horizontal="center" vertical="center" wrapText="1"/>
    </xf>
    <xf numFmtId="0" fontId="14" fillId="0" borderId="23" xfId="0" applyFont="1" applyBorder="1" applyAlignment="1">
      <alignment horizontal="center" vertical="center" wrapText="1"/>
    </xf>
    <xf numFmtId="0" fontId="13" fillId="0" borderId="0" xfId="0" applyFont="1" applyBorder="1" applyAlignment="1">
      <alignment horizontal="center" vertical="center"/>
    </xf>
    <xf numFmtId="14" fontId="13" fillId="0" borderId="0" xfId="0" applyNumberFormat="1" applyFont="1" applyBorder="1" applyAlignment="1">
      <alignment horizontal="center" vertical="center" wrapText="1"/>
    </xf>
    <xf numFmtId="0" fontId="13" fillId="0" borderId="0" xfId="0" applyFont="1" applyBorder="1" applyAlignment="1">
      <alignment horizontal="center" vertical="center" wrapText="1"/>
    </xf>
    <xf numFmtId="0" fontId="35" fillId="0" borderId="0" xfId="0" applyFont="1" applyBorder="1" applyAlignment="1">
      <alignment horizontal="left" vertical="center" wrapText="1"/>
    </xf>
    <xf numFmtId="14" fontId="13" fillId="0" borderId="0" xfId="0" applyNumberFormat="1" applyFont="1" applyBorder="1" applyAlignment="1">
      <alignment horizontal="center" vertical="center"/>
    </xf>
    <xf numFmtId="0" fontId="34" fillId="0" borderId="0" xfId="0" applyFont="1" applyBorder="1"/>
    <xf numFmtId="0" fontId="36" fillId="0" borderId="0" xfId="0" applyFont="1" applyBorder="1"/>
    <xf numFmtId="0" fontId="37" fillId="0" borderId="0" xfId="0" applyFont="1" applyBorder="1"/>
    <xf numFmtId="0" fontId="38" fillId="0" borderId="0" xfId="0" applyFont="1" applyBorder="1" applyAlignment="1">
      <alignment vertical="center"/>
    </xf>
    <xf numFmtId="0" fontId="38" fillId="0" borderId="0" xfId="0" applyFont="1" applyBorder="1"/>
    <xf numFmtId="0" fontId="37" fillId="0" borderId="0" xfId="0" applyFont="1" applyBorder="1" applyAlignment="1">
      <alignment vertical="center"/>
    </xf>
    <xf numFmtId="0" fontId="25" fillId="0" borderId="0" xfId="0" applyFont="1" applyBorder="1" applyAlignment="1">
      <alignment vertical="top"/>
    </xf>
    <xf numFmtId="0" fontId="25" fillId="0" borderId="23" xfId="0" applyFont="1" applyBorder="1" applyAlignment="1">
      <alignment horizontal="center" vertical="center" wrapText="1"/>
    </xf>
    <xf numFmtId="0" fontId="25" fillId="0" borderId="23" xfId="0" applyFont="1" applyBorder="1" applyAlignment="1">
      <alignment horizontal="center" vertical="center"/>
    </xf>
    <xf numFmtId="0" fontId="21" fillId="0" borderId="23" xfId="0" applyFont="1" applyBorder="1" applyAlignment="1">
      <alignment horizontal="center" vertical="center" wrapText="1"/>
    </xf>
    <xf numFmtId="0" fontId="39" fillId="0" borderId="23" xfId="0" applyFont="1" applyBorder="1" applyAlignment="1">
      <alignment horizontal="center" vertical="center" wrapText="1"/>
    </xf>
    <xf numFmtId="0" fontId="39" fillId="0" borderId="0" xfId="0" applyFont="1" applyBorder="1" applyAlignment="1">
      <alignment horizontal="center" vertical="center" wrapText="1"/>
    </xf>
    <xf numFmtId="0" fontId="21" fillId="0" borderId="0" xfId="0" applyFont="1" applyBorder="1" applyAlignment="1">
      <alignment horizontal="center" vertical="center" wrapText="1"/>
    </xf>
    <xf numFmtId="0" fontId="0" fillId="0" borderId="28" xfId="0"/>
    <xf numFmtId="0" fontId="41" fillId="14" borderId="0" xfId="0" applyFont="1" applyFill="1" applyBorder="1"/>
    <xf numFmtId="0" fontId="41" fillId="14" borderId="0" xfId="0" applyFont="1" applyFill="1" applyBorder="1" applyAlignment="1">
      <alignment wrapText="1"/>
    </xf>
    <xf numFmtId="0" fontId="41" fillId="14" borderId="0" xfId="0" applyFont="1" applyFill="1" applyBorder="1" applyAlignment="1">
      <alignment horizontal="center" vertical="center" wrapText="1"/>
    </xf>
    <xf numFmtId="0" fontId="0" fillId="15" borderId="0" xfId="0" applyFill="1" applyBorder="1"/>
    <xf numFmtId="14" fontId="0" fillId="0" borderId="0" xfId="0" applyNumberFormat="1" applyBorder="1"/>
    <xf numFmtId="0" fontId="43" fillId="14" borderId="0" xfId="0" applyFont="1" applyFill="1" applyBorder="1" applyAlignment="1">
      <alignment horizontal="left" vertical="center" wrapText="1"/>
    </xf>
    <xf numFmtId="0" fontId="0" fillId="0" borderId="0" xfId="0" applyBorder="1" applyAlignment="1">
      <alignment wrapText="1"/>
    </xf>
    <xf numFmtId="9" fontId="0" fillId="0" borderId="0" xfId="0" applyNumberFormat="1" applyBorder="1"/>
    <xf numFmtId="9" fontId="0" fillId="0" borderId="0" xfId="0" applyNumberFormat="1" applyBorder="1" applyAlignment="1">
      <alignment wrapText="1"/>
    </xf>
    <xf numFmtId="0" fontId="20" fillId="16" borderId="0" xfId="0" applyFont="1" applyFill="1" applyBorder="1"/>
    <xf numFmtId="0" fontId="46" fillId="19" borderId="0" xfId="0" applyFont="1" applyFill="1" applyBorder="1" applyAlignment="1">
      <alignment horizontal="center" vertical="center" wrapText="1"/>
    </xf>
    <xf numFmtId="0" fontId="0" fillId="0" borderId="50" xfId="0" applyBorder="1"/>
    <xf numFmtId="0" fontId="0" fillId="0" borderId="58" xfId="0" applyBorder="1"/>
    <xf numFmtId="0" fontId="0" fillId="0" borderId="59" xfId="0" applyBorder="1"/>
    <xf numFmtId="0" fontId="46" fillId="19" borderId="0" xfId="0" applyFont="1" applyFill="1" applyBorder="1" applyAlignment="1">
      <alignment vertical="top" wrapText="1"/>
    </xf>
    <xf numFmtId="0" fontId="0" fillId="0" borderId="0" xfId="0" applyBorder="1" applyAlignment="1">
      <alignment vertical="top" wrapText="1"/>
    </xf>
    <xf numFmtId="167" fontId="0" fillId="0" borderId="0" xfId="0" applyNumberFormat="1" applyBorder="1" applyAlignment="1">
      <alignment vertical="top" wrapText="1"/>
    </xf>
    <xf numFmtId="14" fontId="0" fillId="0" borderId="0" xfId="0" applyNumberFormat="1" applyBorder="1" applyAlignment="1">
      <alignment vertical="top" wrapText="1"/>
    </xf>
    <xf numFmtId="9" fontId="0" fillId="0" borderId="0" xfId="0" applyNumberFormat="1" applyBorder="1" applyAlignment="1">
      <alignment vertical="top" wrapText="1"/>
    </xf>
    <xf numFmtId="0" fontId="49" fillId="0" borderId="28" xfId="0" applyFont="1"/>
    <xf numFmtId="0" fontId="50" fillId="22" borderId="28" xfId="0" applyFont="1" applyFill="1"/>
    <xf numFmtId="0" fontId="51" fillId="0" borderId="28" xfId="0" applyFont="1" applyAlignment="1">
      <alignment horizontal="center" wrapText="1"/>
    </xf>
    <xf numFmtId="0" fontId="49" fillId="0" borderId="28" xfId="0" applyFont="1" applyAlignment="1">
      <alignment wrapText="1"/>
    </xf>
    <xf numFmtId="9" fontId="49" fillId="0" borderId="28" xfId="0" applyNumberFormat="1" applyFont="1"/>
    <xf numFmtId="0" fontId="51" fillId="23" borderId="28" xfId="0" applyFont="1" applyFill="1" applyAlignment="1">
      <alignment wrapText="1"/>
    </xf>
    <xf numFmtId="0" fontId="50" fillId="22" borderId="28" xfId="0" applyFont="1" applyFill="1" applyAlignment="1">
      <alignment wrapText="1"/>
    </xf>
    <xf numFmtId="0" fontId="52" fillId="15" borderId="28" xfId="0" applyFont="1" applyFill="1"/>
    <xf numFmtId="0" fontId="53" fillId="0" borderId="28" xfId="0" applyFont="1"/>
    <xf numFmtId="0" fontId="12" fillId="0" borderId="28" xfId="0" applyFont="1" applyAlignment="1">
      <alignment horizontal="center" vertical="center" wrapText="1"/>
    </xf>
    <xf numFmtId="0" fontId="0" fillId="0" borderId="28" xfId="0"/>
    <xf numFmtId="0" fontId="11" fillId="0" borderId="28" xfId="0" applyFont="1" applyAlignment="1">
      <alignment horizontal="center"/>
    </xf>
    <xf numFmtId="0" fontId="0" fillId="0" borderId="28" xfId="0" applyAlignment="1">
      <alignment horizontal="center" vertical="center" wrapText="1"/>
    </xf>
    <xf numFmtId="0" fontId="16" fillId="0" borderId="28" xfId="0" applyFont="1" applyAlignment="1">
      <alignment horizontal="center" vertical="center"/>
    </xf>
    <xf numFmtId="0" fontId="40" fillId="0" borderId="28" xfId="0" applyFont="1" applyAlignment="1">
      <alignment horizontal="left" vertical="top" wrapText="1"/>
    </xf>
    <xf numFmtId="0" fontId="0" fillId="0" borderId="0" xfId="0" applyBorder="1"/>
    <xf numFmtId="0" fontId="26" fillId="0" borderId="0" xfId="0" applyFont="1" applyBorder="1"/>
    <xf numFmtId="0" fontId="9" fillId="7" borderId="34" xfId="0" applyFont="1" applyFill="1" applyBorder="1" applyAlignment="1">
      <alignment horizontal="center" vertical="center" wrapText="1"/>
    </xf>
    <xf numFmtId="0" fontId="0" fillId="0" borderId="38" xfId="0" applyBorder="1"/>
    <xf numFmtId="0" fontId="0" fillId="0" borderId="34" xfId="0" applyBorder="1"/>
    <xf numFmtId="0" fontId="8" fillId="6" borderId="52" xfId="0" applyFont="1" applyFill="1" applyBorder="1" applyAlignment="1">
      <alignment horizontal="center" vertical="center" wrapText="1"/>
    </xf>
    <xf numFmtId="0" fontId="0" fillId="0" borderId="44" xfId="0" applyBorder="1"/>
    <xf numFmtId="1" fontId="8" fillId="6" borderId="54" xfId="0" applyNumberFormat="1" applyFont="1" applyFill="1" applyBorder="1" applyAlignment="1">
      <alignment horizontal="center" vertical="center" wrapText="1"/>
    </xf>
    <xf numFmtId="0" fontId="0" fillId="0" borderId="41" xfId="0" applyBorder="1"/>
    <xf numFmtId="0" fontId="8" fillId="6" borderId="53" xfId="0" applyFont="1" applyFill="1" applyBorder="1" applyAlignment="1">
      <alignment horizontal="center" vertical="center" wrapText="1"/>
    </xf>
    <xf numFmtId="0" fontId="0" fillId="0" borderId="45" xfId="0" applyBorder="1"/>
    <xf numFmtId="0" fontId="1" fillId="0" borderId="30" xfId="0" applyFont="1" applyBorder="1" applyAlignment="1">
      <alignment horizontal="left" vertical="center" wrapText="1"/>
    </xf>
    <xf numFmtId="0" fontId="0" fillId="0" borderId="33" xfId="0" applyBorder="1"/>
    <xf numFmtId="0" fontId="8" fillId="6" borderId="56" xfId="0" applyFont="1" applyFill="1" applyBorder="1" applyAlignment="1">
      <alignment horizontal="center" vertical="center" wrapText="1"/>
    </xf>
    <xf numFmtId="0" fontId="0" fillId="0" borderId="39" xfId="0" applyBorder="1"/>
    <xf numFmtId="0" fontId="0" fillId="0" borderId="40" xfId="0" applyBorder="1"/>
    <xf numFmtId="0" fontId="9" fillId="7" borderId="57" xfId="0" applyFont="1" applyFill="1" applyBorder="1" applyAlignment="1">
      <alignment horizontal="center" vertical="center" wrapText="1"/>
    </xf>
    <xf numFmtId="0" fontId="8" fillId="6" borderId="51" xfId="0" applyFont="1" applyFill="1" applyBorder="1" applyAlignment="1">
      <alignment horizontal="center" vertical="center" wrapText="1"/>
    </xf>
    <xf numFmtId="0" fontId="0" fillId="0" borderId="42" xfId="0" applyBorder="1"/>
    <xf numFmtId="165" fontId="8" fillId="6" borderId="54" xfId="0" applyNumberFormat="1" applyFont="1" applyFill="1" applyBorder="1" applyAlignment="1">
      <alignment horizontal="center" vertical="center" wrapText="1"/>
    </xf>
    <xf numFmtId="165" fontId="8" fillId="6" borderId="55" xfId="0" applyNumberFormat="1" applyFont="1" applyFill="1" applyBorder="1" applyAlignment="1">
      <alignment horizontal="center" vertical="center" wrapText="1"/>
    </xf>
    <xf numFmtId="0" fontId="0" fillId="0" borderId="43" xfId="0" applyBorder="1"/>
    <xf numFmtId="0" fontId="1" fillId="0" borderId="29" xfId="0" applyFont="1" applyBorder="1" applyAlignment="1">
      <alignment horizontal="left" vertical="center" wrapText="1"/>
    </xf>
    <xf numFmtId="0" fontId="0" fillId="0" borderId="31" xfId="0" applyBorder="1"/>
    <xf numFmtId="0" fontId="9" fillId="7" borderId="37" xfId="0" applyFont="1" applyFill="1" applyBorder="1" applyAlignment="1">
      <alignment horizontal="center" vertical="center" wrapText="1"/>
    </xf>
    <xf numFmtId="1" fontId="8" fillId="6" borderId="51" xfId="0" applyNumberFormat="1" applyFont="1" applyFill="1" applyBorder="1" applyAlignment="1">
      <alignment horizontal="center" vertical="center" wrapText="1"/>
    </xf>
    <xf numFmtId="0" fontId="8" fillId="6" borderId="54" xfId="0" applyFont="1" applyFill="1" applyBorder="1" applyAlignment="1">
      <alignment horizontal="center" vertical="center" wrapText="1"/>
    </xf>
    <xf numFmtId="0" fontId="0" fillId="0" borderId="32" xfId="0" applyBorder="1"/>
    <xf numFmtId="0" fontId="43" fillId="14" borderId="28" xfId="0" applyFont="1" applyFill="1" applyAlignment="1">
      <alignment horizontal="center" vertical="center" wrapText="1"/>
    </xf>
    <xf numFmtId="0" fontId="22" fillId="0" borderId="36" xfId="0" applyFont="1" applyBorder="1" applyAlignment="1">
      <alignment horizontal="left" vertical="center" wrapText="1"/>
    </xf>
    <xf numFmtId="0" fontId="0" fillId="0" borderId="49" xfId="0" applyBorder="1"/>
    <xf numFmtId="0" fontId="23" fillId="17" borderId="28" xfId="0" applyFont="1" applyFill="1" applyAlignment="1">
      <alignment horizontal="left" vertical="center" wrapText="1"/>
    </xf>
    <xf numFmtId="0" fontId="44" fillId="18" borderId="36" xfId="0" applyFont="1" applyFill="1" applyBorder="1" applyAlignment="1">
      <alignment horizontal="left" vertical="center" wrapText="1"/>
    </xf>
    <xf numFmtId="0" fontId="0" fillId="0" borderId="48" xfId="0" applyBorder="1"/>
    <xf numFmtId="0" fontId="23" fillId="0" borderId="35" xfId="0" applyFont="1" applyBorder="1" applyAlignment="1">
      <alignment horizontal="left" vertical="center" wrapText="1"/>
    </xf>
    <xf numFmtId="0" fontId="0" fillId="0" borderId="47" xfId="0" applyBorder="1"/>
    <xf numFmtId="0" fontId="0" fillId="0" borderId="50" xfId="0" applyBorder="1"/>
    <xf numFmtId="0" fontId="0" fillId="16" borderId="28" xfId="0" applyFill="1" applyAlignment="1">
      <alignment wrapText="1"/>
    </xf>
    <xf numFmtId="0" fontId="0" fillId="0" borderId="58" xfId="0" applyBorder="1"/>
    <xf numFmtId="0" fontId="23" fillId="0" borderId="36" xfId="0" applyFont="1" applyBorder="1" applyAlignment="1">
      <alignment horizontal="left" vertical="center" wrapText="1"/>
    </xf>
    <xf numFmtId="0" fontId="22" fillId="0" borderId="28" xfId="0" applyFont="1" applyAlignment="1">
      <alignment horizontal="left" vertical="center" wrapText="1"/>
    </xf>
    <xf numFmtId="0" fontId="42" fillId="14" borderId="28" xfId="0" applyFont="1" applyFill="1" applyAlignment="1">
      <alignment horizontal="center" vertical="center" wrapText="1"/>
    </xf>
    <xf numFmtId="0" fontId="22" fillId="0" borderId="35" xfId="0" applyFont="1" applyBorder="1" applyAlignment="1">
      <alignment horizontal="left" vertical="center" wrapText="1"/>
    </xf>
    <xf numFmtId="0" fontId="0" fillId="0" borderId="46" xfId="0" applyBorder="1"/>
    <xf numFmtId="0" fontId="0" fillId="20" borderId="28" xfId="0" applyFill="1" applyAlignment="1">
      <alignment wrapText="1"/>
    </xf>
    <xf numFmtId="0" fontId="0" fillId="21" borderId="28" xfId="0" applyFill="1" applyAlignment="1">
      <alignment wrapText="1"/>
    </xf>
    <xf numFmtId="0" fontId="47" fillId="19" borderId="28" xfId="0" applyFont="1" applyFill="1" applyAlignment="1">
      <alignment horizontal="center"/>
    </xf>
    <xf numFmtId="0" fontId="41" fillId="14" borderId="28" xfId="0" applyFont="1" applyFill="1" applyAlignment="1">
      <alignment horizontal="center"/>
    </xf>
    <xf numFmtId="0" fontId="45" fillId="14" borderId="28" xfId="0" applyFont="1" applyFill="1" applyAlignment="1">
      <alignment horizontal="center"/>
    </xf>
    <xf numFmtId="0" fontId="51" fillId="17" borderId="28" xfId="0" applyFont="1" applyFill="1"/>
    <xf numFmtId="0" fontId="49" fillId="23" borderId="28" xfId="0" applyFont="1" applyFill="1" applyAlignment="1">
      <alignment vertical="top" wrapText="1"/>
    </xf>
    <xf numFmtId="0" fontId="50" fillId="22" borderId="28" xfId="0" applyFont="1" applyFill="1" applyAlignment="1">
      <alignment horizontal="center"/>
    </xf>
    <xf numFmtId="0" fontId="48" fillId="22" borderId="28" xfId="0" applyFont="1" applyFill="1" applyAlignment="1">
      <alignment horizontal="center" vertical="center"/>
    </xf>
    <xf numFmtId="0" fontId="48" fillId="22" borderId="28" xfId="0" applyFont="1" applyFill="1" applyAlignment="1">
      <alignment horizontal="center"/>
    </xf>
  </cellXfs>
  <cellStyles count="2">
    <cellStyle name="Lien hypertexte" xfId="1" xr:uid="{00000000-0005-0000-0000-000001000000}"/>
    <cellStyle name="Normal" xfId="0" builtinId="0"/>
  </cellStyles>
  <dxfs count="23">
    <dxf>
      <fill>
        <patternFill patternType="solid">
          <fgColor rgb="FFE2F0D9"/>
        </patternFill>
      </fill>
    </dxf>
    <dxf>
      <fill>
        <patternFill patternType="solid">
          <fgColor rgb="FFF4CCCC"/>
        </patternFill>
      </fill>
    </dxf>
    <dxf>
      <fill>
        <patternFill patternType="solid">
          <bgColor rgb="FFF4CCCC"/>
        </patternFill>
      </fill>
    </dxf>
    <dxf>
      <fill>
        <patternFill patternType="solid">
          <bgColor rgb="FFFCE4D6"/>
        </patternFill>
      </fill>
    </dxf>
    <dxf>
      <fill>
        <patternFill patternType="solid">
          <bgColor rgb="FFE2F0D9"/>
        </patternFill>
      </fill>
    </dxf>
    <dxf>
      <fill>
        <patternFill>
          <bgColor rgb="FFFFFF00"/>
        </patternFill>
      </fill>
    </dxf>
    <dxf>
      <fill>
        <patternFill>
          <bgColor rgb="FF92D050"/>
        </patternFill>
      </fill>
    </dxf>
    <dxf>
      <fill>
        <patternFill>
          <bgColor theme="9"/>
        </patternFill>
      </fill>
    </dxf>
    <dxf>
      <fill>
        <patternFill>
          <bgColor rgb="FFFF0000"/>
        </patternFill>
      </fill>
    </dxf>
    <dxf>
      <fill>
        <patternFill patternType="solid">
          <bgColor rgb="FFF4CCCC"/>
        </patternFill>
      </fill>
    </dxf>
    <dxf>
      <fill>
        <patternFill patternType="solid">
          <bgColor rgb="FFFCE4D6"/>
        </patternFill>
      </fill>
    </dxf>
    <dxf>
      <fill>
        <patternFill patternType="solid">
          <bgColor rgb="FFE2F0D9"/>
        </patternFill>
      </fill>
    </dxf>
    <dxf>
      <fill>
        <patternFill>
          <bgColor rgb="FFFFFF00"/>
        </patternFill>
      </fill>
    </dxf>
    <dxf>
      <fill>
        <patternFill>
          <bgColor rgb="FF92D050"/>
        </patternFill>
      </fill>
    </dxf>
    <dxf>
      <fill>
        <patternFill>
          <bgColor theme="9"/>
        </patternFill>
      </fill>
    </dxf>
    <dxf>
      <fill>
        <patternFill>
          <bgColor rgb="FFFF0000"/>
        </patternFill>
      </fill>
    </dxf>
    <dxf>
      <fill>
        <patternFill patternType="solid">
          <bgColor rgb="FFF4CCCC"/>
        </patternFill>
      </fill>
    </dxf>
    <dxf>
      <fill>
        <patternFill patternType="solid">
          <bgColor rgb="FFFCE4D6"/>
        </patternFill>
      </fill>
    </dxf>
    <dxf>
      <fill>
        <patternFill patternType="solid">
          <bgColor rgb="FFE2F0D9"/>
        </patternFill>
      </fill>
    </dxf>
    <dxf>
      <fill>
        <patternFill>
          <bgColor rgb="FFFFFF00"/>
        </patternFill>
      </fill>
    </dxf>
    <dxf>
      <fill>
        <patternFill>
          <bgColor rgb="FF92D050"/>
        </patternFill>
      </fill>
    </dxf>
    <dxf>
      <fill>
        <patternFill>
          <bgColor theme="9"/>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1"/>
  <c:style val="2"/>
  <c:chart>
    <c:title>
      <c:tx>
        <c:rich>
          <a:bodyPr/>
          <a:lstStyle/>
          <a:p>
            <a:r>
              <a:rPr lang="fr-FR"/>
              <a:t>Répartition des actions</a:t>
            </a:r>
          </a:p>
        </c:rich>
      </c:tx>
      <c:overlay val="1"/>
    </c:title>
    <c:autoTitleDeleted val="0"/>
    <c:plotArea>
      <c:layout/>
      <c:barChart>
        <c:barDir val="col"/>
        <c:grouping val="clustered"/>
        <c:varyColors val="0"/>
        <c:ser>
          <c:idx val="0"/>
          <c:order val="0"/>
          <c:tx>
            <c:v>Nombre</c:v>
          </c:tx>
          <c:spPr>
            <a:ln>
              <a:prstDash val="solid"/>
            </a:ln>
          </c:spPr>
          <c:invertIfNegative val="1"/>
          <c:cat>
            <c:strRef>
              <c:f>'Statistiques DUERP'!$A$13:$A$16</c:f>
              <c:strCache>
                <c:ptCount val="4"/>
                <c:pt idx="0">
                  <c:v>À lancer</c:v>
                </c:pt>
                <c:pt idx="1">
                  <c:v>En cours</c:v>
                </c:pt>
                <c:pt idx="2">
                  <c:v>Bloquée</c:v>
                </c:pt>
                <c:pt idx="3">
                  <c:v>Clôturée</c:v>
                </c:pt>
              </c:strCache>
            </c:strRef>
          </c:cat>
          <c:val>
            <c:numRef>
              <c:f>'Statistiques DUERP'!$B$13:$B$16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1EA-447E-B7FF-A0328A12C5E2}"/>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0"/>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0"/>
        <c:majorTickMark val="none"/>
        <c:minorTickMark val="none"/>
        <c:tickLblPos val="nextTo"/>
        <c:crossAx val="48650112"/>
        <c:crosses val="autoZero"/>
        <c:crossBetween val="between"/>
      </c:valAx>
    </c:plotArea>
    <c:plotVisOnly val="1"/>
    <c:dispBlanksAs val="gap"/>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0</xdr:colOff>
      <xdr:row>2</xdr:row>
      <xdr:rowOff>0</xdr:rowOff>
    </xdr:from>
    <xdr:to>
      <xdr:col>17</xdr:col>
      <xdr:colOff>0</xdr:colOff>
      <xdr:row>16</xdr:row>
      <xdr:rowOff>0</xdr:rowOff>
    </xdr:to>
    <xdr:graphicFrame macro="">
      <xdr:nvGraphicFramePr>
        <xdr:cNvPr id="2" name="Chart 1">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E66"/>
  <sheetViews>
    <sheetView tabSelected="1" workbookViewId="0">
      <selection activeCell="D6" sqref="D6"/>
    </sheetView>
  </sheetViews>
  <sheetFormatPr baseColWidth="10" defaultRowHeight="18.75"/>
  <cols>
    <col min="1" max="1" width="44.85546875" style="81" customWidth="1"/>
    <col min="2" max="2" width="43.5703125" customWidth="1"/>
    <col min="3" max="3" width="15.42578125" customWidth="1"/>
    <col min="4" max="4" width="32.28515625" style="83" customWidth="1"/>
    <col min="5" max="5" width="45.28515625" customWidth="1"/>
    <col min="243" max="243" width="8.42578125" customWidth="1"/>
    <col min="244" max="244" width="34.5703125" customWidth="1"/>
    <col min="245" max="245" width="29" customWidth="1"/>
    <col min="246" max="246" width="5.140625" customWidth="1"/>
    <col min="247" max="248" width="18" customWidth="1"/>
    <col min="249" max="249" width="12.5703125" customWidth="1"/>
    <col min="499" max="499" width="8.42578125" customWidth="1"/>
    <col min="500" max="500" width="34.5703125" customWidth="1"/>
    <col min="501" max="501" width="29" customWidth="1"/>
    <col min="502" max="502" width="5.140625" customWidth="1"/>
    <col min="503" max="504" width="18" customWidth="1"/>
    <col min="505" max="505" width="12.5703125" customWidth="1"/>
    <col min="755" max="755" width="8.42578125" customWidth="1"/>
    <col min="756" max="756" width="34.5703125" customWidth="1"/>
    <col min="757" max="757" width="29" customWidth="1"/>
    <col min="758" max="758" width="5.140625" customWidth="1"/>
    <col min="759" max="760" width="18" customWidth="1"/>
    <col min="761" max="761" width="12.5703125" customWidth="1"/>
    <col min="1011" max="1011" width="8.42578125" customWidth="1"/>
    <col min="1012" max="1012" width="34.5703125" customWidth="1"/>
    <col min="1013" max="1013" width="29" customWidth="1"/>
    <col min="1014" max="1014" width="5.140625" customWidth="1"/>
    <col min="1015" max="1016" width="18" customWidth="1"/>
    <col min="1017" max="1017" width="12.5703125" customWidth="1"/>
    <col min="1267" max="1267" width="8.42578125" customWidth="1"/>
    <col min="1268" max="1268" width="34.5703125" customWidth="1"/>
    <col min="1269" max="1269" width="29" customWidth="1"/>
    <col min="1270" max="1270" width="5.140625" customWidth="1"/>
    <col min="1271" max="1272" width="18" customWidth="1"/>
    <col min="1273" max="1273" width="12.5703125" customWidth="1"/>
    <col min="1523" max="1523" width="8.42578125" customWidth="1"/>
    <col min="1524" max="1524" width="34.5703125" customWidth="1"/>
    <col min="1525" max="1525" width="29" customWidth="1"/>
    <col min="1526" max="1526" width="5.140625" customWidth="1"/>
    <col min="1527" max="1528" width="18" customWidth="1"/>
    <col min="1529" max="1529" width="12.5703125" customWidth="1"/>
    <col min="1779" max="1779" width="8.42578125" customWidth="1"/>
    <col min="1780" max="1780" width="34.5703125" customWidth="1"/>
    <col min="1781" max="1781" width="29" customWidth="1"/>
    <col min="1782" max="1782" width="5.140625" customWidth="1"/>
    <col min="1783" max="1784" width="18" customWidth="1"/>
    <col min="1785" max="1785" width="12.5703125" customWidth="1"/>
    <col min="2035" max="2035" width="8.42578125" customWidth="1"/>
    <col min="2036" max="2036" width="34.5703125" customWidth="1"/>
    <col min="2037" max="2037" width="29" customWidth="1"/>
    <col min="2038" max="2038" width="5.140625" customWidth="1"/>
    <col min="2039" max="2040" width="18" customWidth="1"/>
    <col min="2041" max="2041" width="12.5703125" customWidth="1"/>
    <col min="2291" max="2291" width="8.42578125" customWidth="1"/>
    <col min="2292" max="2292" width="34.5703125" customWidth="1"/>
    <col min="2293" max="2293" width="29" customWidth="1"/>
    <col min="2294" max="2294" width="5.140625" customWidth="1"/>
    <col min="2295" max="2296" width="18" customWidth="1"/>
    <col min="2297" max="2297" width="12.5703125" customWidth="1"/>
    <col min="2547" max="2547" width="8.42578125" customWidth="1"/>
    <col min="2548" max="2548" width="34.5703125" customWidth="1"/>
    <col min="2549" max="2549" width="29" customWidth="1"/>
    <col min="2550" max="2550" width="5.140625" customWidth="1"/>
    <col min="2551" max="2552" width="18" customWidth="1"/>
    <col min="2553" max="2553" width="12.5703125" customWidth="1"/>
    <col min="2803" max="2803" width="8.42578125" customWidth="1"/>
    <col min="2804" max="2804" width="34.5703125" customWidth="1"/>
    <col min="2805" max="2805" width="29" customWidth="1"/>
    <col min="2806" max="2806" width="5.140625" customWidth="1"/>
    <col min="2807" max="2808" width="18" customWidth="1"/>
    <col min="2809" max="2809" width="12.5703125" customWidth="1"/>
    <col min="3059" max="3059" width="8.42578125" customWidth="1"/>
    <col min="3060" max="3060" width="34.5703125" customWidth="1"/>
    <col min="3061" max="3061" width="29" customWidth="1"/>
    <col min="3062" max="3062" width="5.140625" customWidth="1"/>
    <col min="3063" max="3064" width="18" customWidth="1"/>
    <col min="3065" max="3065" width="12.5703125" customWidth="1"/>
    <col min="3315" max="3315" width="8.42578125" customWidth="1"/>
    <col min="3316" max="3316" width="34.5703125" customWidth="1"/>
    <col min="3317" max="3317" width="29" customWidth="1"/>
    <col min="3318" max="3318" width="5.140625" customWidth="1"/>
    <col min="3319" max="3320" width="18" customWidth="1"/>
    <col min="3321" max="3321" width="12.5703125" customWidth="1"/>
    <col min="3571" max="3571" width="8.42578125" customWidth="1"/>
    <col min="3572" max="3572" width="34.5703125" customWidth="1"/>
    <col min="3573" max="3573" width="29" customWidth="1"/>
    <col min="3574" max="3574" width="5.140625" customWidth="1"/>
    <col min="3575" max="3576" width="18" customWidth="1"/>
    <col min="3577" max="3577" width="12.5703125" customWidth="1"/>
    <col min="3827" max="3827" width="8.42578125" customWidth="1"/>
    <col min="3828" max="3828" width="34.5703125" customWidth="1"/>
    <col min="3829" max="3829" width="29" customWidth="1"/>
    <col min="3830" max="3830" width="5.140625" customWidth="1"/>
    <col min="3831" max="3832" width="18" customWidth="1"/>
    <col min="3833" max="3833" width="12.5703125" customWidth="1"/>
    <col min="4083" max="4083" width="8.42578125" customWidth="1"/>
    <col min="4084" max="4084" width="34.5703125" customWidth="1"/>
    <col min="4085" max="4085" width="29" customWidth="1"/>
    <col min="4086" max="4086" width="5.140625" customWidth="1"/>
    <col min="4087" max="4088" width="18" customWidth="1"/>
    <col min="4089" max="4089" width="12.5703125" customWidth="1"/>
    <col min="4339" max="4339" width="8.42578125" customWidth="1"/>
    <col min="4340" max="4340" width="34.5703125" customWidth="1"/>
    <col min="4341" max="4341" width="29" customWidth="1"/>
    <col min="4342" max="4342" width="5.140625" customWidth="1"/>
    <col min="4343" max="4344" width="18" customWidth="1"/>
    <col min="4345" max="4345" width="12.5703125" customWidth="1"/>
    <col min="4595" max="4595" width="8.42578125" customWidth="1"/>
    <col min="4596" max="4596" width="34.5703125" customWidth="1"/>
    <col min="4597" max="4597" width="29" customWidth="1"/>
    <col min="4598" max="4598" width="5.140625" customWidth="1"/>
    <col min="4599" max="4600" width="18" customWidth="1"/>
    <col min="4601" max="4601" width="12.5703125" customWidth="1"/>
    <col min="4851" max="4851" width="8.42578125" customWidth="1"/>
    <col min="4852" max="4852" width="34.5703125" customWidth="1"/>
    <col min="4853" max="4853" width="29" customWidth="1"/>
    <col min="4854" max="4854" width="5.140625" customWidth="1"/>
    <col min="4855" max="4856" width="18" customWidth="1"/>
    <col min="4857" max="4857" width="12.5703125" customWidth="1"/>
    <col min="5107" max="5107" width="8.42578125" customWidth="1"/>
    <col min="5108" max="5108" width="34.5703125" customWidth="1"/>
    <col min="5109" max="5109" width="29" customWidth="1"/>
    <col min="5110" max="5110" width="5.140625" customWidth="1"/>
    <col min="5111" max="5112" width="18" customWidth="1"/>
    <col min="5113" max="5113" width="12.5703125" customWidth="1"/>
    <col min="5363" max="5363" width="8.42578125" customWidth="1"/>
    <col min="5364" max="5364" width="34.5703125" customWidth="1"/>
    <col min="5365" max="5365" width="29" customWidth="1"/>
    <col min="5366" max="5366" width="5.140625" customWidth="1"/>
    <col min="5367" max="5368" width="18" customWidth="1"/>
    <col min="5369" max="5369" width="12.5703125" customWidth="1"/>
    <col min="5619" max="5619" width="8.42578125" customWidth="1"/>
    <col min="5620" max="5620" width="34.5703125" customWidth="1"/>
    <col min="5621" max="5621" width="29" customWidth="1"/>
    <col min="5622" max="5622" width="5.140625" customWidth="1"/>
    <col min="5623" max="5624" width="18" customWidth="1"/>
    <col min="5625" max="5625" width="12.5703125" customWidth="1"/>
    <col min="5875" max="5875" width="8.42578125" customWidth="1"/>
    <col min="5876" max="5876" width="34.5703125" customWidth="1"/>
    <col min="5877" max="5877" width="29" customWidth="1"/>
    <col min="5878" max="5878" width="5.140625" customWidth="1"/>
    <col min="5879" max="5880" width="18" customWidth="1"/>
    <col min="5881" max="5881" width="12.5703125" customWidth="1"/>
    <col min="6131" max="6131" width="8.42578125" customWidth="1"/>
    <col min="6132" max="6132" width="34.5703125" customWidth="1"/>
    <col min="6133" max="6133" width="29" customWidth="1"/>
    <col min="6134" max="6134" width="5.140625" customWidth="1"/>
    <col min="6135" max="6136" width="18" customWidth="1"/>
    <col min="6137" max="6137" width="12.5703125" customWidth="1"/>
    <col min="6387" max="6387" width="8.42578125" customWidth="1"/>
    <col min="6388" max="6388" width="34.5703125" customWidth="1"/>
    <col min="6389" max="6389" width="29" customWidth="1"/>
    <col min="6390" max="6390" width="5.140625" customWidth="1"/>
    <col min="6391" max="6392" width="18" customWidth="1"/>
    <col min="6393" max="6393" width="12.5703125" customWidth="1"/>
    <col min="6643" max="6643" width="8.42578125" customWidth="1"/>
    <col min="6644" max="6644" width="34.5703125" customWidth="1"/>
    <col min="6645" max="6645" width="29" customWidth="1"/>
    <col min="6646" max="6646" width="5.140625" customWidth="1"/>
    <col min="6647" max="6648" width="18" customWidth="1"/>
    <col min="6649" max="6649" width="12.5703125" customWidth="1"/>
    <col min="6899" max="6899" width="8.42578125" customWidth="1"/>
    <col min="6900" max="6900" width="34.5703125" customWidth="1"/>
    <col min="6901" max="6901" width="29" customWidth="1"/>
    <col min="6902" max="6902" width="5.140625" customWidth="1"/>
    <col min="6903" max="6904" width="18" customWidth="1"/>
    <col min="6905" max="6905" width="12.5703125" customWidth="1"/>
    <col min="7155" max="7155" width="8.42578125" customWidth="1"/>
    <col min="7156" max="7156" width="34.5703125" customWidth="1"/>
    <col min="7157" max="7157" width="29" customWidth="1"/>
    <col min="7158" max="7158" width="5.140625" customWidth="1"/>
    <col min="7159" max="7160" width="18" customWidth="1"/>
    <col min="7161" max="7161" width="12.5703125" customWidth="1"/>
    <col min="7411" max="7411" width="8.42578125" customWidth="1"/>
    <col min="7412" max="7412" width="34.5703125" customWidth="1"/>
    <col min="7413" max="7413" width="29" customWidth="1"/>
    <col min="7414" max="7414" width="5.140625" customWidth="1"/>
    <col min="7415" max="7416" width="18" customWidth="1"/>
    <col min="7417" max="7417" width="12.5703125" customWidth="1"/>
    <col min="7667" max="7667" width="8.42578125" customWidth="1"/>
    <col min="7668" max="7668" width="34.5703125" customWidth="1"/>
    <col min="7669" max="7669" width="29" customWidth="1"/>
    <col min="7670" max="7670" width="5.140625" customWidth="1"/>
    <col min="7671" max="7672" width="18" customWidth="1"/>
    <col min="7673" max="7673" width="12.5703125" customWidth="1"/>
    <col min="7923" max="7923" width="8.42578125" customWidth="1"/>
    <col min="7924" max="7924" width="34.5703125" customWidth="1"/>
    <col min="7925" max="7925" width="29" customWidth="1"/>
    <col min="7926" max="7926" width="5.140625" customWidth="1"/>
    <col min="7927" max="7928" width="18" customWidth="1"/>
    <col min="7929" max="7929" width="12.5703125" customWidth="1"/>
    <col min="8179" max="8179" width="8.42578125" customWidth="1"/>
    <col min="8180" max="8180" width="34.5703125" customWidth="1"/>
    <col min="8181" max="8181" width="29" customWidth="1"/>
    <col min="8182" max="8182" width="5.140625" customWidth="1"/>
    <col min="8183" max="8184" width="18" customWidth="1"/>
    <col min="8185" max="8185" width="12.5703125" customWidth="1"/>
    <col min="8435" max="8435" width="8.42578125" customWidth="1"/>
    <col min="8436" max="8436" width="34.5703125" customWidth="1"/>
    <col min="8437" max="8437" width="29" customWidth="1"/>
    <col min="8438" max="8438" width="5.140625" customWidth="1"/>
    <col min="8439" max="8440" width="18" customWidth="1"/>
    <col min="8441" max="8441" width="12.5703125" customWidth="1"/>
    <col min="8691" max="8691" width="8.42578125" customWidth="1"/>
    <col min="8692" max="8692" width="34.5703125" customWidth="1"/>
    <col min="8693" max="8693" width="29" customWidth="1"/>
    <col min="8694" max="8694" width="5.140625" customWidth="1"/>
    <col min="8695" max="8696" width="18" customWidth="1"/>
    <col min="8697" max="8697" width="12.5703125" customWidth="1"/>
    <col min="8947" max="8947" width="8.42578125" customWidth="1"/>
    <col min="8948" max="8948" width="34.5703125" customWidth="1"/>
    <col min="8949" max="8949" width="29" customWidth="1"/>
    <col min="8950" max="8950" width="5.140625" customWidth="1"/>
    <col min="8951" max="8952" width="18" customWidth="1"/>
    <col min="8953" max="8953" width="12.5703125" customWidth="1"/>
    <col min="9203" max="9203" width="8.42578125" customWidth="1"/>
    <col min="9204" max="9204" width="34.5703125" customWidth="1"/>
    <col min="9205" max="9205" width="29" customWidth="1"/>
    <col min="9206" max="9206" width="5.140625" customWidth="1"/>
    <col min="9207" max="9208" width="18" customWidth="1"/>
    <col min="9209" max="9209" width="12.5703125" customWidth="1"/>
    <col min="9459" max="9459" width="8.42578125" customWidth="1"/>
    <col min="9460" max="9460" width="34.5703125" customWidth="1"/>
    <col min="9461" max="9461" width="29" customWidth="1"/>
    <col min="9462" max="9462" width="5.140625" customWidth="1"/>
    <col min="9463" max="9464" width="18" customWidth="1"/>
    <col min="9465" max="9465" width="12.5703125" customWidth="1"/>
    <col min="9715" max="9715" width="8.42578125" customWidth="1"/>
    <col min="9716" max="9716" width="34.5703125" customWidth="1"/>
    <col min="9717" max="9717" width="29" customWidth="1"/>
    <col min="9718" max="9718" width="5.140625" customWidth="1"/>
    <col min="9719" max="9720" width="18" customWidth="1"/>
    <col min="9721" max="9721" width="12.5703125" customWidth="1"/>
    <col min="9971" max="9971" width="8.42578125" customWidth="1"/>
    <col min="9972" max="9972" width="34.5703125" customWidth="1"/>
    <col min="9973" max="9973" width="29" customWidth="1"/>
    <col min="9974" max="9974" width="5.140625" customWidth="1"/>
    <col min="9975" max="9976" width="18" customWidth="1"/>
    <col min="9977" max="9977" width="12.5703125" customWidth="1"/>
    <col min="10227" max="10227" width="8.42578125" customWidth="1"/>
    <col min="10228" max="10228" width="34.5703125" customWidth="1"/>
    <col min="10229" max="10229" width="29" customWidth="1"/>
    <col min="10230" max="10230" width="5.140625" customWidth="1"/>
    <col min="10231" max="10232" width="18" customWidth="1"/>
    <col min="10233" max="10233" width="12.5703125" customWidth="1"/>
    <col min="10483" max="10483" width="8.42578125" customWidth="1"/>
    <col min="10484" max="10484" width="34.5703125" customWidth="1"/>
    <col min="10485" max="10485" width="29" customWidth="1"/>
    <col min="10486" max="10486" width="5.140625" customWidth="1"/>
    <col min="10487" max="10488" width="18" customWidth="1"/>
    <col min="10489" max="10489" width="12.5703125" customWidth="1"/>
    <col min="10739" max="10739" width="8.42578125" customWidth="1"/>
    <col min="10740" max="10740" width="34.5703125" customWidth="1"/>
    <col min="10741" max="10741" width="29" customWidth="1"/>
    <col min="10742" max="10742" width="5.140625" customWidth="1"/>
    <col min="10743" max="10744" width="18" customWidth="1"/>
    <col min="10745" max="10745" width="12.5703125" customWidth="1"/>
    <col min="10995" max="10995" width="8.42578125" customWidth="1"/>
    <col min="10996" max="10996" width="34.5703125" customWidth="1"/>
    <col min="10997" max="10997" width="29" customWidth="1"/>
    <col min="10998" max="10998" width="5.140625" customWidth="1"/>
    <col min="10999" max="11000" width="18" customWidth="1"/>
    <col min="11001" max="11001" width="12.5703125" customWidth="1"/>
    <col min="11251" max="11251" width="8.42578125" customWidth="1"/>
    <col min="11252" max="11252" width="34.5703125" customWidth="1"/>
    <col min="11253" max="11253" width="29" customWidth="1"/>
    <col min="11254" max="11254" width="5.140625" customWidth="1"/>
    <col min="11255" max="11256" width="18" customWidth="1"/>
    <col min="11257" max="11257" width="12.5703125" customWidth="1"/>
    <col min="11507" max="11507" width="8.42578125" customWidth="1"/>
    <col min="11508" max="11508" width="34.5703125" customWidth="1"/>
    <col min="11509" max="11509" width="29" customWidth="1"/>
    <col min="11510" max="11510" width="5.140625" customWidth="1"/>
    <col min="11511" max="11512" width="18" customWidth="1"/>
    <col min="11513" max="11513" width="12.5703125" customWidth="1"/>
    <col min="11763" max="11763" width="8.42578125" customWidth="1"/>
    <col min="11764" max="11764" width="34.5703125" customWidth="1"/>
    <col min="11765" max="11765" width="29" customWidth="1"/>
    <col min="11766" max="11766" width="5.140625" customWidth="1"/>
    <col min="11767" max="11768" width="18" customWidth="1"/>
    <col min="11769" max="11769" width="12.5703125" customWidth="1"/>
    <col min="12019" max="12019" width="8.42578125" customWidth="1"/>
    <col min="12020" max="12020" width="34.5703125" customWidth="1"/>
    <col min="12021" max="12021" width="29" customWidth="1"/>
    <col min="12022" max="12022" width="5.140625" customWidth="1"/>
    <col min="12023" max="12024" width="18" customWidth="1"/>
    <col min="12025" max="12025" width="12.5703125" customWidth="1"/>
    <col min="12275" max="12275" width="8.42578125" customWidth="1"/>
    <col min="12276" max="12276" width="34.5703125" customWidth="1"/>
    <col min="12277" max="12277" width="29" customWidth="1"/>
    <col min="12278" max="12278" width="5.140625" customWidth="1"/>
    <col min="12279" max="12280" width="18" customWidth="1"/>
    <col min="12281" max="12281" width="12.5703125" customWidth="1"/>
    <col min="12531" max="12531" width="8.42578125" customWidth="1"/>
    <col min="12532" max="12532" width="34.5703125" customWidth="1"/>
    <col min="12533" max="12533" width="29" customWidth="1"/>
    <col min="12534" max="12534" width="5.140625" customWidth="1"/>
    <col min="12535" max="12536" width="18" customWidth="1"/>
    <col min="12537" max="12537" width="12.5703125" customWidth="1"/>
    <col min="12787" max="12787" width="8.42578125" customWidth="1"/>
    <col min="12788" max="12788" width="34.5703125" customWidth="1"/>
    <col min="12789" max="12789" width="29" customWidth="1"/>
    <col min="12790" max="12790" width="5.140625" customWidth="1"/>
    <col min="12791" max="12792" width="18" customWidth="1"/>
    <col min="12793" max="12793" width="12.5703125" customWidth="1"/>
    <col min="13043" max="13043" width="8.42578125" customWidth="1"/>
    <col min="13044" max="13044" width="34.5703125" customWidth="1"/>
    <col min="13045" max="13045" width="29" customWidth="1"/>
    <col min="13046" max="13046" width="5.140625" customWidth="1"/>
    <col min="13047" max="13048" width="18" customWidth="1"/>
    <col min="13049" max="13049" width="12.5703125" customWidth="1"/>
    <col min="13299" max="13299" width="8.42578125" customWidth="1"/>
    <col min="13300" max="13300" width="34.5703125" customWidth="1"/>
    <col min="13301" max="13301" width="29" customWidth="1"/>
    <col min="13302" max="13302" width="5.140625" customWidth="1"/>
    <col min="13303" max="13304" width="18" customWidth="1"/>
    <col min="13305" max="13305" width="12.5703125" customWidth="1"/>
    <col min="13555" max="13555" width="8.42578125" customWidth="1"/>
    <col min="13556" max="13556" width="34.5703125" customWidth="1"/>
    <col min="13557" max="13557" width="29" customWidth="1"/>
    <col min="13558" max="13558" width="5.140625" customWidth="1"/>
    <col min="13559" max="13560" width="18" customWidth="1"/>
    <col min="13561" max="13561" width="12.5703125" customWidth="1"/>
    <col min="13811" max="13811" width="8.42578125" customWidth="1"/>
    <col min="13812" max="13812" width="34.5703125" customWidth="1"/>
    <col min="13813" max="13813" width="29" customWidth="1"/>
    <col min="13814" max="13814" width="5.140625" customWidth="1"/>
    <col min="13815" max="13816" width="18" customWidth="1"/>
    <col min="13817" max="13817" width="12.5703125" customWidth="1"/>
    <col min="14067" max="14067" width="8.42578125" customWidth="1"/>
    <col min="14068" max="14068" width="34.5703125" customWidth="1"/>
    <col min="14069" max="14069" width="29" customWidth="1"/>
    <col min="14070" max="14070" width="5.140625" customWidth="1"/>
    <col min="14071" max="14072" width="18" customWidth="1"/>
    <col min="14073" max="14073" width="12.5703125" customWidth="1"/>
    <col min="14323" max="14323" width="8.42578125" customWidth="1"/>
    <col min="14324" max="14324" width="34.5703125" customWidth="1"/>
    <col min="14325" max="14325" width="29" customWidth="1"/>
    <col min="14326" max="14326" width="5.140625" customWidth="1"/>
    <col min="14327" max="14328" width="18" customWidth="1"/>
    <col min="14329" max="14329" width="12.5703125" customWidth="1"/>
    <col min="14579" max="14579" width="8.42578125" customWidth="1"/>
    <col min="14580" max="14580" width="34.5703125" customWidth="1"/>
    <col min="14581" max="14581" width="29" customWidth="1"/>
    <col min="14582" max="14582" width="5.140625" customWidth="1"/>
    <col min="14583" max="14584" width="18" customWidth="1"/>
    <col min="14585" max="14585" width="12.5703125" customWidth="1"/>
    <col min="14835" max="14835" width="8.42578125" customWidth="1"/>
    <col min="14836" max="14836" width="34.5703125" customWidth="1"/>
    <col min="14837" max="14837" width="29" customWidth="1"/>
    <col min="14838" max="14838" width="5.140625" customWidth="1"/>
    <col min="14839" max="14840" width="18" customWidth="1"/>
    <col min="14841" max="14841" width="12.5703125" customWidth="1"/>
    <col min="15091" max="15091" width="8.42578125" customWidth="1"/>
    <col min="15092" max="15092" width="34.5703125" customWidth="1"/>
    <col min="15093" max="15093" width="29" customWidth="1"/>
    <col min="15094" max="15094" width="5.140625" customWidth="1"/>
    <col min="15095" max="15096" width="18" customWidth="1"/>
    <col min="15097" max="15097" width="12.5703125" customWidth="1"/>
    <col min="15347" max="15347" width="8.42578125" customWidth="1"/>
    <col min="15348" max="15348" width="34.5703125" customWidth="1"/>
    <col min="15349" max="15349" width="29" customWidth="1"/>
    <col min="15350" max="15350" width="5.140625" customWidth="1"/>
    <col min="15351" max="15352" width="18" customWidth="1"/>
    <col min="15353" max="15353" width="12.5703125" customWidth="1"/>
    <col min="15603" max="15603" width="8.42578125" customWidth="1"/>
    <col min="15604" max="15604" width="34.5703125" customWidth="1"/>
    <col min="15605" max="15605" width="29" customWidth="1"/>
    <col min="15606" max="15606" width="5.140625" customWidth="1"/>
    <col min="15607" max="15608" width="18" customWidth="1"/>
    <col min="15609" max="15609" width="12.5703125" customWidth="1"/>
    <col min="15859" max="15859" width="8.42578125" customWidth="1"/>
    <col min="15860" max="15860" width="34.5703125" customWidth="1"/>
    <col min="15861" max="15861" width="29" customWidth="1"/>
    <col min="15862" max="15862" width="5.140625" customWidth="1"/>
    <col min="15863" max="15864" width="18" customWidth="1"/>
    <col min="15865" max="15865" width="12.5703125" customWidth="1"/>
    <col min="16115" max="16115" width="8.42578125" customWidth="1"/>
    <col min="16116" max="16116" width="34.5703125" customWidth="1"/>
    <col min="16117" max="16117" width="29" customWidth="1"/>
    <col min="16118" max="16118" width="5.140625" customWidth="1"/>
    <col min="16119" max="16120" width="18" customWidth="1"/>
    <col min="16121" max="16121" width="12.5703125" customWidth="1"/>
  </cols>
  <sheetData>
    <row r="1" spans="1:5" ht="21" customHeight="1">
      <c r="D1" s="163"/>
      <c r="E1" s="162"/>
    </row>
    <row r="2" spans="1:5" ht="25.5" customHeight="1">
      <c r="A2" s="161" t="s">
        <v>0</v>
      </c>
      <c r="B2" s="162"/>
      <c r="C2" s="162"/>
      <c r="D2" s="162"/>
      <c r="E2" s="162"/>
    </row>
    <row r="3" spans="1:5" ht="54.95" customHeight="1">
      <c r="A3" s="59"/>
      <c r="B3" s="59"/>
      <c r="C3" s="59"/>
      <c r="D3" s="59"/>
      <c r="E3" s="59"/>
    </row>
    <row r="4" spans="1:5" ht="39" customHeight="1">
      <c r="A4" s="122" t="s">
        <v>1</v>
      </c>
      <c r="B4" s="115"/>
      <c r="C4" s="87"/>
      <c r="D4" s="124" t="s">
        <v>2</v>
      </c>
      <c r="E4" s="114" t="s">
        <v>3</v>
      </c>
    </row>
    <row r="5" spans="1:5" ht="141.6" customHeight="1">
      <c r="A5" s="122" t="s">
        <v>4</v>
      </c>
      <c r="B5" s="116"/>
      <c r="C5" s="87"/>
      <c r="D5" s="124" t="s">
        <v>5</v>
      </c>
      <c r="E5" s="116"/>
    </row>
    <row r="6" spans="1:5" ht="206.45" customHeight="1">
      <c r="A6" s="122" t="s">
        <v>6</v>
      </c>
      <c r="B6" s="116"/>
      <c r="C6" s="87"/>
      <c r="D6" s="124" t="s">
        <v>7</v>
      </c>
      <c r="E6" s="114"/>
    </row>
    <row r="7" spans="1:5" ht="45.6" customHeight="1">
      <c r="A7" s="122" t="s">
        <v>8</v>
      </c>
      <c r="B7" s="117"/>
      <c r="C7" s="118"/>
      <c r="D7" s="124" t="s">
        <v>9</v>
      </c>
      <c r="E7" s="114"/>
    </row>
    <row r="8" spans="1:5" ht="56.1" customHeight="1">
      <c r="A8" s="122" t="s">
        <v>10</v>
      </c>
      <c r="B8" s="116"/>
      <c r="C8" s="114"/>
      <c r="D8" s="124" t="s">
        <v>11</v>
      </c>
      <c r="E8" s="114"/>
    </row>
    <row r="9" spans="1:5" ht="31.5" customHeight="1">
      <c r="A9" s="123"/>
      <c r="B9" s="116"/>
      <c r="C9" s="114"/>
      <c r="D9" s="121"/>
      <c r="E9" s="60"/>
    </row>
    <row r="10" spans="1:5" ht="26.25" customHeight="1">
      <c r="A10" s="119"/>
      <c r="B10" s="117"/>
      <c r="C10" s="114"/>
      <c r="D10" s="120"/>
      <c r="E10" s="60"/>
    </row>
    <row r="11" spans="1:5" ht="15" customHeight="1">
      <c r="B11" s="62"/>
      <c r="C11" s="63"/>
      <c r="E11" s="60"/>
    </row>
    <row r="12" spans="1:5" ht="12" customHeight="1">
      <c r="B12" s="65"/>
      <c r="C12" s="63"/>
      <c r="E12" s="60"/>
    </row>
    <row r="13" spans="1:5" ht="12" customHeight="1">
      <c r="B13" s="64"/>
      <c r="C13" s="63"/>
      <c r="E13" s="60"/>
    </row>
    <row r="14" spans="1:5" ht="12" customHeight="1">
      <c r="A14" s="166" t="s">
        <v>12</v>
      </c>
      <c r="B14" s="162"/>
      <c r="C14" s="162"/>
      <c r="D14" s="162"/>
      <c r="E14" s="162"/>
    </row>
    <row r="15" spans="1:5" ht="12" customHeight="1">
      <c r="A15" s="162"/>
      <c r="B15" s="167"/>
      <c r="C15" s="167"/>
      <c r="D15" s="168"/>
      <c r="E15" s="162"/>
    </row>
    <row r="16" spans="1:5" ht="12" customHeight="1">
      <c r="A16" s="162"/>
      <c r="B16" s="167"/>
      <c r="C16" s="167"/>
      <c r="D16" s="168"/>
      <c r="E16" s="162"/>
    </row>
    <row r="17" spans="1:5" ht="12" customHeight="1">
      <c r="A17" s="162"/>
      <c r="B17" s="167"/>
      <c r="C17" s="167"/>
      <c r="D17" s="168"/>
      <c r="E17" s="162"/>
    </row>
    <row r="18" spans="1:5" ht="23.45" customHeight="1">
      <c r="A18" s="162"/>
      <c r="B18" s="167"/>
      <c r="C18" s="167"/>
      <c r="D18" s="168"/>
      <c r="E18" s="162"/>
    </row>
    <row r="19" spans="1:5" ht="12" customHeight="1">
      <c r="A19" s="162"/>
      <c r="B19" s="167"/>
      <c r="C19" s="167"/>
      <c r="D19" s="168"/>
      <c r="E19" s="162"/>
    </row>
    <row r="20" spans="1:5" ht="12" customHeight="1">
      <c r="A20" s="162"/>
      <c r="B20" s="167"/>
      <c r="C20" s="167"/>
      <c r="D20" s="168"/>
      <c r="E20" s="162"/>
    </row>
    <row r="21" spans="1:5" ht="23.45" customHeight="1">
      <c r="A21" s="162"/>
      <c r="B21" s="167"/>
      <c r="C21" s="167"/>
      <c r="D21" s="168"/>
      <c r="E21" s="162"/>
    </row>
    <row r="22" spans="1:5" ht="32.1" customHeight="1">
      <c r="A22" s="162"/>
      <c r="B22" s="162"/>
      <c r="C22" s="162"/>
      <c r="D22" s="162"/>
      <c r="E22" s="162"/>
    </row>
    <row r="23" spans="1:5" ht="23.45" customHeight="1">
      <c r="A23" s="125"/>
      <c r="B23" s="125"/>
      <c r="C23" s="125"/>
      <c r="D23" s="125"/>
      <c r="E23" s="125"/>
    </row>
    <row r="24" spans="1:5" ht="53.1" customHeight="1">
      <c r="B24" s="127" t="s">
        <v>13</v>
      </c>
      <c r="C24" s="126" t="s">
        <v>14</v>
      </c>
      <c r="D24" s="127" t="s">
        <v>15</v>
      </c>
      <c r="E24" s="125"/>
    </row>
    <row r="25" spans="1:5" ht="23.45" customHeight="1">
      <c r="B25" s="127"/>
      <c r="C25" s="127"/>
      <c r="D25" s="127"/>
      <c r="E25" s="125"/>
    </row>
    <row r="26" spans="1:5" ht="23.45" customHeight="1">
      <c r="B26" s="127"/>
      <c r="C26" s="127"/>
      <c r="D26" s="127"/>
      <c r="E26" s="125"/>
    </row>
    <row r="27" spans="1:5" ht="21" customHeight="1">
      <c r="B27" s="127"/>
      <c r="C27" s="127"/>
      <c r="D27" s="127"/>
      <c r="E27" s="125"/>
    </row>
    <row r="28" spans="1:5" ht="23.45" customHeight="1">
      <c r="B28" s="127"/>
      <c r="C28" s="127"/>
      <c r="D28" s="127"/>
      <c r="E28" s="125"/>
    </row>
    <row r="29" spans="1:5">
      <c r="B29" s="128"/>
      <c r="C29" s="126"/>
      <c r="D29" s="128"/>
      <c r="E29" s="68"/>
    </row>
    <row r="30" spans="1:5">
      <c r="B30" s="129"/>
      <c r="C30" s="126"/>
      <c r="D30" s="128"/>
      <c r="E30" s="68"/>
    </row>
    <row r="31" spans="1:5">
      <c r="B31" s="129"/>
      <c r="C31" s="126"/>
      <c r="D31" s="128"/>
      <c r="E31" s="68"/>
    </row>
    <row r="32" spans="1:5">
      <c r="A32" s="82"/>
      <c r="B32" s="130"/>
      <c r="C32" s="131"/>
      <c r="D32" s="85"/>
      <c r="E32" s="68"/>
    </row>
    <row r="33" spans="1:5">
      <c r="A33" s="82"/>
      <c r="B33" s="130"/>
      <c r="C33" s="131"/>
      <c r="D33" s="84"/>
      <c r="E33" s="68"/>
    </row>
    <row r="34" spans="1:5" ht="23.25" customHeight="1">
      <c r="A34" s="82"/>
      <c r="B34" s="64"/>
      <c r="C34" s="67"/>
      <c r="D34" s="84"/>
      <c r="E34" s="68"/>
    </row>
    <row r="35" spans="1:5" ht="23.25" customHeight="1">
      <c r="A35" s="82"/>
      <c r="B35" s="66"/>
      <c r="C35" s="67"/>
      <c r="D35" s="84"/>
      <c r="E35" s="68"/>
    </row>
    <row r="36" spans="1:5" ht="23.25" customHeight="1">
      <c r="A36" s="82"/>
      <c r="B36" s="66"/>
      <c r="C36" s="67"/>
      <c r="D36" s="84"/>
      <c r="E36" s="68"/>
    </row>
    <row r="37" spans="1:5" ht="23.25" customHeight="1">
      <c r="A37" s="82"/>
      <c r="B37" s="66"/>
      <c r="C37" s="67"/>
      <c r="D37" s="84"/>
      <c r="E37" s="68"/>
    </row>
    <row r="38" spans="1:5" ht="23.25" customHeight="1">
      <c r="A38" s="82"/>
      <c r="B38" s="65"/>
      <c r="C38" s="67"/>
      <c r="D38" s="84"/>
      <c r="E38" s="68"/>
    </row>
    <row r="39" spans="1:5" ht="23.25" customHeight="1">
      <c r="A39" s="82"/>
      <c r="B39" s="65"/>
      <c r="C39" s="67"/>
      <c r="D39" s="84"/>
      <c r="E39" s="68"/>
    </row>
    <row r="40" spans="1:5" ht="23.25" customHeight="1">
      <c r="A40" s="82"/>
      <c r="B40" s="165"/>
      <c r="C40" s="69"/>
      <c r="D40" s="84"/>
      <c r="E40" s="68"/>
    </row>
    <row r="41" spans="1:5" ht="23.25" customHeight="1">
      <c r="A41" s="82"/>
      <c r="B41" s="162"/>
      <c r="C41" s="69"/>
      <c r="D41" s="84"/>
      <c r="E41" s="68"/>
    </row>
    <row r="42" spans="1:5" ht="23.25" customHeight="1">
      <c r="A42" s="82"/>
      <c r="B42" s="70"/>
      <c r="C42" s="67"/>
      <c r="D42" s="84"/>
      <c r="E42" s="68"/>
    </row>
    <row r="43" spans="1:5" ht="23.25" customHeight="1">
      <c r="A43" s="82"/>
      <c r="B43" s="70"/>
      <c r="C43" s="67"/>
      <c r="D43" s="84"/>
      <c r="E43" s="68"/>
    </row>
    <row r="44" spans="1:5" ht="23.25" customHeight="1">
      <c r="A44" s="82"/>
      <c r="B44" s="70"/>
      <c r="C44" s="63"/>
      <c r="E44" s="61"/>
    </row>
    <row r="45" spans="1:5">
      <c r="A45" s="82"/>
      <c r="B45" s="70"/>
      <c r="C45" s="61"/>
      <c r="E45" s="61"/>
    </row>
    <row r="46" spans="1:5">
      <c r="A46" s="82"/>
      <c r="B46" s="70"/>
      <c r="C46" s="61"/>
      <c r="E46" s="61"/>
    </row>
    <row r="47" spans="1:5">
      <c r="A47" s="82"/>
      <c r="B47" s="70"/>
      <c r="C47" s="71"/>
      <c r="E47" s="71"/>
    </row>
    <row r="48" spans="1:5">
      <c r="A48" s="82"/>
      <c r="B48" s="70"/>
      <c r="C48" s="71"/>
      <c r="E48" s="71"/>
    </row>
    <row r="49" spans="1:5">
      <c r="A49" s="82"/>
      <c r="B49" s="70"/>
      <c r="C49" s="71"/>
      <c r="E49" s="71"/>
    </row>
    <row r="50" spans="1:5">
      <c r="A50" s="82"/>
      <c r="B50" s="70"/>
      <c r="C50" s="71"/>
      <c r="E50" s="71"/>
    </row>
    <row r="51" spans="1:5">
      <c r="A51" s="82"/>
      <c r="B51" s="70"/>
      <c r="C51" s="71"/>
      <c r="E51" s="71"/>
    </row>
    <row r="52" spans="1:5">
      <c r="A52" s="82"/>
      <c r="B52" s="70"/>
      <c r="C52" s="72"/>
      <c r="D52" s="84"/>
      <c r="E52" s="72"/>
    </row>
    <row r="53" spans="1:5">
      <c r="B53" s="73"/>
    </row>
    <row r="54" spans="1:5">
      <c r="C54" s="74"/>
      <c r="D54" s="86"/>
      <c r="E54" s="74"/>
    </row>
    <row r="63" spans="1:5">
      <c r="B63" s="70"/>
      <c r="C63" s="164"/>
      <c r="D63" s="162"/>
      <c r="E63" s="162"/>
    </row>
    <row r="64" spans="1:5">
      <c r="B64" s="72"/>
      <c r="C64" s="164"/>
      <c r="D64" s="162"/>
      <c r="E64" s="162"/>
    </row>
    <row r="65" spans="2:5">
      <c r="C65" s="3"/>
      <c r="D65" s="84"/>
      <c r="E65" s="3"/>
    </row>
    <row r="66" spans="2:5">
      <c r="B66" s="70"/>
      <c r="C66" s="3"/>
      <c r="D66" s="84"/>
      <c r="E66" s="3"/>
    </row>
  </sheetData>
  <mergeCells count="6">
    <mergeCell ref="A2:E2"/>
    <mergeCell ref="D1:E1"/>
    <mergeCell ref="C64:E64"/>
    <mergeCell ref="B40:B41"/>
    <mergeCell ref="C63:E63"/>
    <mergeCell ref="A14:E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19"/>
  <sheetViews>
    <sheetView workbookViewId="0"/>
  </sheetViews>
  <sheetFormatPr baseColWidth="10" defaultColWidth="10.85546875" defaultRowHeight="12.75"/>
  <cols>
    <col min="1" max="2" width="15.85546875" style="5" customWidth="1"/>
    <col min="3" max="3" width="16.140625" style="5" customWidth="1"/>
    <col min="4" max="4" width="17.140625" style="5" customWidth="1"/>
    <col min="5" max="5" width="16.42578125" style="5" customWidth="1"/>
    <col min="6" max="6" width="16.85546875" style="5" customWidth="1"/>
    <col min="7" max="10" width="10.85546875" style="5" customWidth="1"/>
    <col min="11" max="11" width="8.5703125" style="5" customWidth="1"/>
    <col min="12" max="12" width="10.85546875" style="5" customWidth="1"/>
    <col min="13" max="16384" width="10.85546875" style="5"/>
  </cols>
  <sheetData>
    <row r="2" spans="1:11" s="89" customFormat="1" ht="25.5" customHeight="1">
      <c r="B2" s="103" t="s">
        <v>16</v>
      </c>
      <c r="C2" s="104"/>
      <c r="E2" s="97" t="s">
        <v>17</v>
      </c>
      <c r="F2" s="90"/>
      <c r="H2" s="99" t="s">
        <v>18</v>
      </c>
      <c r="J2" s="105" t="s">
        <v>19</v>
      </c>
      <c r="K2" s="102"/>
    </row>
    <row r="3" spans="1:11">
      <c r="A3" s="91"/>
    </row>
    <row r="5" spans="1:11">
      <c r="A5" s="101" t="s">
        <v>16</v>
      </c>
      <c r="B5" s="101"/>
    </row>
    <row r="8" spans="1:11">
      <c r="A8" s="91" t="s">
        <v>20</v>
      </c>
    </row>
    <row r="10" spans="1:11">
      <c r="A10" s="5" t="s">
        <v>21</v>
      </c>
    </row>
    <row r="12" spans="1:11">
      <c r="A12" s="5" t="s">
        <v>22</v>
      </c>
    </row>
    <row r="14" spans="1:11">
      <c r="A14" s="5" t="s">
        <v>23</v>
      </c>
    </row>
    <row r="15" spans="1:11">
      <c r="A15" s="92"/>
    </row>
    <row r="16" spans="1:11">
      <c r="A16" s="5" t="s">
        <v>24</v>
      </c>
    </row>
    <row r="18" spans="1:4">
      <c r="A18" s="5" t="s">
        <v>25</v>
      </c>
    </row>
    <row r="20" spans="1:4">
      <c r="A20" s="91" t="s">
        <v>26</v>
      </c>
    </row>
    <row r="22" spans="1:4">
      <c r="A22" s="5" t="s">
        <v>27</v>
      </c>
    </row>
    <row r="24" spans="1:4">
      <c r="A24" s="5" t="s">
        <v>28</v>
      </c>
    </row>
    <row r="26" spans="1:4">
      <c r="A26" s="5" t="s">
        <v>29</v>
      </c>
    </row>
    <row r="28" spans="1:4">
      <c r="A28" s="5" t="s">
        <v>30</v>
      </c>
    </row>
    <row r="32" spans="1:4">
      <c r="A32" s="93" t="s">
        <v>31</v>
      </c>
      <c r="B32" s="93"/>
      <c r="D32" s="94" t="s">
        <v>32</v>
      </c>
    </row>
    <row r="34" spans="1:1">
      <c r="A34" s="91" t="s">
        <v>33</v>
      </c>
    </row>
    <row r="36" spans="1:1">
      <c r="A36" s="5" t="s">
        <v>34</v>
      </c>
    </row>
    <row r="39" spans="1:1">
      <c r="A39" s="5" t="s">
        <v>35</v>
      </c>
    </row>
    <row r="42" spans="1:1">
      <c r="A42" s="91" t="s">
        <v>36</v>
      </c>
    </row>
    <row r="44" spans="1:1">
      <c r="A44" s="5" t="s">
        <v>37</v>
      </c>
    </row>
    <row r="46" spans="1:1">
      <c r="A46" s="5" t="s">
        <v>38</v>
      </c>
    </row>
    <row r="48" spans="1:1">
      <c r="A48" s="92" t="s">
        <v>39</v>
      </c>
    </row>
    <row r="50" spans="1:1">
      <c r="A50" s="5" t="s">
        <v>40</v>
      </c>
    </row>
    <row r="53" spans="1:1">
      <c r="A53" s="91" t="s">
        <v>41</v>
      </c>
    </row>
    <row r="55" spans="1:1">
      <c r="A55" s="5" t="s">
        <v>42</v>
      </c>
    </row>
    <row r="57" spans="1:1">
      <c r="A57" s="5" t="s">
        <v>43</v>
      </c>
    </row>
    <row r="59" spans="1:1">
      <c r="A59" s="5" t="s">
        <v>44</v>
      </c>
    </row>
    <row r="61" spans="1:1">
      <c r="A61" s="5" t="s">
        <v>45</v>
      </c>
    </row>
    <row r="63" spans="1:1">
      <c r="A63" s="5" t="s">
        <v>46</v>
      </c>
    </row>
    <row r="65" spans="1:1">
      <c r="A65" s="5" t="s">
        <v>47</v>
      </c>
    </row>
    <row r="68" spans="1:1">
      <c r="A68" s="91" t="s">
        <v>48</v>
      </c>
    </row>
    <row r="70" spans="1:1">
      <c r="A70" s="5" t="s">
        <v>42</v>
      </c>
    </row>
    <row r="72" spans="1:1">
      <c r="A72" s="5" t="s">
        <v>49</v>
      </c>
    </row>
    <row r="75" spans="1:1">
      <c r="A75" s="91" t="s">
        <v>50</v>
      </c>
    </row>
    <row r="77" spans="1:1">
      <c r="A77" s="5" t="s">
        <v>42</v>
      </c>
    </row>
    <row r="79" spans="1:1">
      <c r="A79" s="5" t="s">
        <v>51</v>
      </c>
    </row>
    <row r="81" spans="1:1">
      <c r="A81" s="5" t="s">
        <v>52</v>
      </c>
    </row>
    <row r="83" spans="1:1">
      <c r="A83" s="5" t="s">
        <v>53</v>
      </c>
    </row>
    <row r="85" spans="1:1">
      <c r="A85" s="5" t="s">
        <v>54</v>
      </c>
    </row>
    <row r="87" spans="1:1">
      <c r="A87" s="5" t="s">
        <v>55</v>
      </c>
    </row>
    <row r="89" spans="1:1">
      <c r="A89" s="5" t="s">
        <v>56</v>
      </c>
    </row>
    <row r="91" spans="1:1">
      <c r="A91" s="5" t="s">
        <v>57</v>
      </c>
    </row>
    <row r="93" spans="1:1">
      <c r="A93" s="5" t="s">
        <v>58</v>
      </c>
    </row>
    <row r="95" spans="1:1">
      <c r="A95" s="5" t="s">
        <v>59</v>
      </c>
    </row>
    <row r="97" spans="1:3">
      <c r="A97" s="5" t="s">
        <v>60</v>
      </c>
    </row>
    <row r="100" spans="1:3">
      <c r="A100" s="98" t="s">
        <v>18</v>
      </c>
      <c r="C100" s="94" t="s">
        <v>32</v>
      </c>
    </row>
    <row r="103" spans="1:3">
      <c r="A103" s="95" t="s">
        <v>61</v>
      </c>
    </row>
    <row r="104" spans="1:3">
      <c r="A104" s="5" t="s">
        <v>62</v>
      </c>
    </row>
    <row r="105" spans="1:3">
      <c r="A105" s="96" t="s">
        <v>63</v>
      </c>
    </row>
    <row r="108" spans="1:3">
      <c r="A108" s="95" t="s">
        <v>64</v>
      </c>
    </row>
    <row r="109" spans="1:3">
      <c r="A109" s="96" t="s">
        <v>65</v>
      </c>
    </row>
    <row r="112" spans="1:3">
      <c r="A112" s="100" t="s">
        <v>66</v>
      </c>
      <c r="C112" s="88" t="s">
        <v>67</v>
      </c>
    </row>
    <row r="114" spans="1:6">
      <c r="A114" s="109" t="s">
        <v>68</v>
      </c>
      <c r="B114" s="110">
        <v>1</v>
      </c>
      <c r="C114" s="110">
        <v>2</v>
      </c>
      <c r="D114" s="110">
        <v>3</v>
      </c>
      <c r="E114" s="110">
        <v>4</v>
      </c>
    </row>
    <row r="115" spans="1:6" ht="123.95" customHeight="1">
      <c r="A115" s="107" t="s">
        <v>69</v>
      </c>
      <c r="B115" s="108" t="s">
        <v>70</v>
      </c>
      <c r="C115" s="108" t="s">
        <v>71</v>
      </c>
      <c r="D115" s="108" t="s">
        <v>72</v>
      </c>
      <c r="E115" s="108" t="s">
        <v>73</v>
      </c>
    </row>
    <row r="118" spans="1:6">
      <c r="A118" s="109" t="s">
        <v>68</v>
      </c>
      <c r="B118" s="110">
        <v>2</v>
      </c>
      <c r="C118" s="110">
        <v>3</v>
      </c>
      <c r="D118" s="110">
        <v>4</v>
      </c>
      <c r="E118" s="110">
        <v>5</v>
      </c>
      <c r="F118" s="111"/>
    </row>
    <row r="119" spans="1:6" ht="70.5" customHeight="1">
      <c r="A119" s="112" t="s">
        <v>74</v>
      </c>
      <c r="B119" s="113" t="s">
        <v>75</v>
      </c>
      <c r="C119" s="106" t="s">
        <v>76</v>
      </c>
      <c r="D119" s="106" t="s">
        <v>77</v>
      </c>
      <c r="E119" s="106" t="s">
        <v>78</v>
      </c>
      <c r="F119" s="111"/>
    </row>
  </sheetData>
  <hyperlinks>
    <hyperlink ref="E2" location="Index!A32" display="Référence réglementaire" xr:uid="{00000000-0004-0000-0100-000000000000}"/>
    <hyperlink ref="H2" location="Index!A100" display="Définitions" xr:uid="{00000000-0004-0000-0100-000001000000}"/>
    <hyperlink ref="J2" location="Index!A112" display="Critères évaluation" xr:uid="{00000000-0004-0000-0100-000002000000}"/>
    <hyperlink ref="D32" location="Index!A2" display="Retour haut" xr:uid="{00000000-0004-0000-0100-000003000000}"/>
    <hyperlink ref="C100" location="Index!A2" display="Retour haut" xr:uid="{00000000-0004-0000-0100-000004000000}"/>
    <hyperlink ref="C112" location="Index!A2" display="Retour Haut" xr:uid="{00000000-0004-0000-0100-000005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sheetPr>
  <dimension ref="A1:AF77"/>
  <sheetViews>
    <sheetView workbookViewId="0"/>
  </sheetViews>
  <sheetFormatPr baseColWidth="10" defaultRowHeight="12.75"/>
  <cols>
    <col min="1" max="1" width="47.85546875" customWidth="1"/>
    <col min="2" max="5" width="27.140625" customWidth="1"/>
    <col min="6" max="8" width="4.85546875" customWidth="1"/>
    <col min="9" max="9" width="51.28515625" customWidth="1"/>
    <col min="10" max="23" width="6.5703125" customWidth="1"/>
    <col min="24" max="26" width="20.7109375" customWidth="1"/>
    <col min="27" max="27" width="14" customWidth="1"/>
    <col min="28" max="28" width="15" customWidth="1"/>
    <col min="29" max="30" width="18" customWidth="1"/>
    <col min="31" max="31" width="16" customWidth="1"/>
    <col min="32" max="32" width="32" customWidth="1"/>
  </cols>
  <sheetData>
    <row r="1" spans="1:32">
      <c r="A1" s="9"/>
      <c r="B1" s="10"/>
      <c r="C1" s="4"/>
      <c r="D1" s="4"/>
      <c r="E1" s="1"/>
      <c r="F1" s="6"/>
      <c r="G1" s="6"/>
      <c r="H1" s="7" t="s">
        <v>79</v>
      </c>
      <c r="I1" s="6"/>
      <c r="J1" s="6"/>
      <c r="K1" s="1"/>
      <c r="L1" s="8" t="s">
        <v>80</v>
      </c>
      <c r="M1" s="8"/>
      <c r="N1" s="8"/>
      <c r="O1" s="8"/>
      <c r="P1" s="8"/>
      <c r="Q1" s="8"/>
      <c r="R1" s="1"/>
      <c r="S1" s="1"/>
      <c r="T1" s="1"/>
      <c r="U1" s="1"/>
      <c r="V1" s="1"/>
      <c r="W1" s="1"/>
      <c r="X1" s="1"/>
      <c r="Y1" s="1"/>
      <c r="Z1" s="1"/>
    </row>
    <row r="2" spans="1:32">
      <c r="A2" s="1"/>
      <c r="B2" s="2"/>
      <c r="C2" s="4"/>
      <c r="D2" s="4"/>
      <c r="E2" s="1"/>
      <c r="F2" s="11"/>
      <c r="G2" s="11"/>
      <c r="H2" s="11"/>
      <c r="I2" s="11"/>
      <c r="J2" s="1"/>
      <c r="K2" s="1"/>
      <c r="L2" s="1"/>
      <c r="M2" s="1"/>
      <c r="N2" s="1"/>
      <c r="O2" s="1"/>
      <c r="P2" s="1"/>
      <c r="Q2" s="1"/>
      <c r="R2" s="1"/>
      <c r="S2" s="1"/>
      <c r="T2" s="1"/>
      <c r="U2" s="1"/>
      <c r="V2" s="1"/>
      <c r="W2" s="1"/>
      <c r="X2" s="1"/>
      <c r="Y2" s="1"/>
      <c r="Z2" s="1"/>
    </row>
    <row r="3" spans="1:32" ht="13.5" customHeight="1">
      <c r="A3" s="1"/>
      <c r="B3" s="2"/>
      <c r="C3" s="1"/>
      <c r="D3" s="1"/>
      <c r="E3" s="1"/>
      <c r="F3" s="12"/>
      <c r="G3" s="12"/>
      <c r="H3" s="13" t="s">
        <v>81</v>
      </c>
      <c r="I3" s="12"/>
      <c r="J3" s="12"/>
      <c r="K3" s="1"/>
      <c r="L3" s="14" t="s">
        <v>82</v>
      </c>
      <c r="M3" s="15"/>
      <c r="N3" s="15"/>
      <c r="O3" s="15"/>
      <c r="P3" s="15"/>
      <c r="Q3" s="15"/>
      <c r="R3" s="1"/>
      <c r="S3" s="1"/>
      <c r="T3" s="1"/>
      <c r="U3" s="1"/>
      <c r="V3" s="1"/>
      <c r="W3" s="1"/>
      <c r="X3" s="1"/>
      <c r="Y3" s="1"/>
      <c r="Z3" s="1"/>
    </row>
    <row r="4" spans="1:32" ht="25.5">
      <c r="A4" s="184" t="s">
        <v>83</v>
      </c>
      <c r="B4" s="184" t="s">
        <v>84</v>
      </c>
      <c r="C4" s="172" t="s">
        <v>85</v>
      </c>
      <c r="D4" s="172" t="s">
        <v>86</v>
      </c>
      <c r="E4" s="176" t="s">
        <v>87</v>
      </c>
      <c r="F4" s="193" t="s">
        <v>88</v>
      </c>
      <c r="G4" s="174" t="s">
        <v>89</v>
      </c>
      <c r="H4" s="174" t="s">
        <v>90</v>
      </c>
      <c r="I4" s="174" t="s">
        <v>91</v>
      </c>
      <c r="J4" s="180" t="s">
        <v>92</v>
      </c>
      <c r="K4" s="181"/>
      <c r="L4" s="182"/>
      <c r="M4" s="180" t="s">
        <v>93</v>
      </c>
      <c r="N4" s="181"/>
      <c r="O4" s="182"/>
      <c r="P4" s="180" t="s">
        <v>94</v>
      </c>
      <c r="Q4" s="181"/>
      <c r="R4" s="182"/>
      <c r="S4" s="180" t="s">
        <v>95</v>
      </c>
      <c r="T4" s="181"/>
      <c r="U4" s="182"/>
      <c r="V4" s="174" t="s">
        <v>96</v>
      </c>
      <c r="W4" s="192" t="s">
        <v>97</v>
      </c>
      <c r="X4" s="186" t="s">
        <v>98</v>
      </c>
      <c r="Y4" s="186" t="s">
        <v>99</v>
      </c>
      <c r="Z4" s="187" t="s">
        <v>100</v>
      </c>
      <c r="AA4" s="135" t="s">
        <v>101</v>
      </c>
      <c r="AB4" s="135" t="s">
        <v>102</v>
      </c>
      <c r="AC4" s="143" t="s">
        <v>103</v>
      </c>
      <c r="AD4" s="143" t="s">
        <v>104</v>
      </c>
      <c r="AE4" s="143" t="s">
        <v>105</v>
      </c>
      <c r="AF4" s="143" t="s">
        <v>106</v>
      </c>
    </row>
    <row r="5" spans="1:32" ht="51.75" customHeight="1">
      <c r="A5" s="185"/>
      <c r="B5" s="185"/>
      <c r="C5" s="173"/>
      <c r="D5" s="173"/>
      <c r="E5" s="177"/>
      <c r="F5" s="175"/>
      <c r="G5" s="175"/>
      <c r="H5" s="175"/>
      <c r="I5" s="175"/>
      <c r="J5" s="16" t="s">
        <v>107</v>
      </c>
      <c r="K5" s="16" t="s">
        <v>108</v>
      </c>
      <c r="L5" s="16" t="s">
        <v>109</v>
      </c>
      <c r="M5" s="16" t="s">
        <v>107</v>
      </c>
      <c r="N5" s="16" t="s">
        <v>108</v>
      </c>
      <c r="O5" s="16" t="s">
        <v>109</v>
      </c>
      <c r="P5" s="16" t="s">
        <v>107</v>
      </c>
      <c r="Q5" s="16" t="s">
        <v>108</v>
      </c>
      <c r="R5" s="16" t="s">
        <v>109</v>
      </c>
      <c r="S5" s="16" t="s">
        <v>107</v>
      </c>
      <c r="T5" s="16" t="s">
        <v>108</v>
      </c>
      <c r="U5" s="16" t="s">
        <v>109</v>
      </c>
      <c r="V5" s="175"/>
      <c r="W5" s="185"/>
      <c r="X5" s="175"/>
      <c r="Y5" s="175"/>
      <c r="Z5" s="188"/>
      <c r="AA5" s="136"/>
      <c r="AB5" s="136"/>
    </row>
    <row r="6" spans="1:32">
      <c r="A6" s="169"/>
      <c r="B6" s="28"/>
      <c r="C6" s="41"/>
      <c r="D6" s="42"/>
      <c r="E6" s="42"/>
      <c r="F6" s="43"/>
      <c r="G6" s="43"/>
      <c r="H6" s="17">
        <f t="shared" ref="H6:H37" si="0">F6*G6</f>
        <v>0</v>
      </c>
      <c r="I6" s="49"/>
      <c r="J6" s="44"/>
      <c r="K6" s="45"/>
      <c r="L6" s="46"/>
      <c r="M6" s="44"/>
      <c r="N6" s="45"/>
      <c r="O6" s="46"/>
      <c r="P6" s="44"/>
      <c r="Q6" s="45"/>
      <c r="R6" s="46"/>
      <c r="S6" s="44"/>
      <c r="T6" s="45"/>
      <c r="U6" s="46"/>
      <c r="V6" s="47">
        <f t="shared" ref="V6:V37" si="1">SUM(J6:L6)*SUM(M6:O6)*SUM(P6:R6)*SUM(S6:U6)/4</f>
        <v>0</v>
      </c>
      <c r="W6" s="48">
        <f t="shared" ref="W6:W37" si="2">IFERROR(H6/V6,0)</f>
        <v>0</v>
      </c>
      <c r="X6" s="49"/>
      <c r="Y6" s="49"/>
      <c r="Z6" s="50"/>
      <c r="AB6" s="137"/>
      <c r="AE6" s="137"/>
    </row>
    <row r="7" spans="1:32">
      <c r="A7" s="170"/>
      <c r="B7" s="30"/>
      <c r="C7" s="19"/>
      <c r="D7" s="20"/>
      <c r="E7" s="20"/>
      <c r="F7" s="21"/>
      <c r="G7" s="21"/>
      <c r="H7" s="17">
        <f t="shared" si="0"/>
        <v>0</v>
      </c>
      <c r="I7" s="26"/>
      <c r="J7" s="23"/>
      <c r="K7" s="21"/>
      <c r="L7" s="24"/>
      <c r="M7" s="23"/>
      <c r="N7" s="21"/>
      <c r="O7" s="24"/>
      <c r="P7" s="23"/>
      <c r="Q7" s="21"/>
      <c r="R7" s="24"/>
      <c r="S7" s="23"/>
      <c r="T7" s="21"/>
      <c r="U7" s="24"/>
      <c r="V7" s="25">
        <f t="shared" si="1"/>
        <v>0</v>
      </c>
      <c r="W7" s="17">
        <f t="shared" si="2"/>
        <v>0</v>
      </c>
      <c r="X7" s="36"/>
      <c r="Y7" s="51"/>
      <c r="Z7" s="52"/>
      <c r="AB7" s="137"/>
      <c r="AE7" s="137"/>
    </row>
    <row r="8" spans="1:32">
      <c r="A8" s="170"/>
      <c r="B8" s="18"/>
      <c r="C8" s="53"/>
      <c r="D8" s="20"/>
      <c r="E8" s="20"/>
      <c r="F8" s="45"/>
      <c r="G8" s="45"/>
      <c r="H8" s="17">
        <f t="shared" si="0"/>
        <v>0</v>
      </c>
      <c r="I8" s="32"/>
      <c r="J8" s="23"/>
      <c r="K8" s="21"/>
      <c r="L8" s="24"/>
      <c r="M8" s="23"/>
      <c r="N8" s="21"/>
      <c r="O8" s="24"/>
      <c r="P8" s="23"/>
      <c r="Q8" s="21"/>
      <c r="R8" s="24"/>
      <c r="S8" s="23"/>
      <c r="T8" s="21"/>
      <c r="U8" s="24"/>
      <c r="V8" s="25">
        <f t="shared" si="1"/>
        <v>0</v>
      </c>
      <c r="W8" s="17">
        <f t="shared" si="2"/>
        <v>0</v>
      </c>
      <c r="X8" s="49"/>
      <c r="Y8" s="54"/>
      <c r="Z8" s="50"/>
      <c r="AB8" s="137"/>
      <c r="AE8" s="137"/>
    </row>
    <row r="9" spans="1:32">
      <c r="A9" s="170"/>
      <c r="B9" s="18"/>
      <c r="C9" s="19"/>
      <c r="D9" s="20"/>
      <c r="E9" s="20"/>
      <c r="F9" s="21"/>
      <c r="G9" s="21"/>
      <c r="H9" s="17">
        <f t="shared" si="0"/>
        <v>0</v>
      </c>
      <c r="I9" s="22"/>
      <c r="J9" s="23"/>
      <c r="K9" s="21"/>
      <c r="L9" s="24"/>
      <c r="M9" s="23"/>
      <c r="N9" s="21"/>
      <c r="O9" s="24"/>
      <c r="P9" s="23"/>
      <c r="Q9" s="21"/>
      <c r="R9" s="24"/>
      <c r="S9" s="23"/>
      <c r="T9" s="21"/>
      <c r="U9" s="24"/>
      <c r="V9" s="25">
        <f t="shared" si="1"/>
        <v>0</v>
      </c>
      <c r="W9" s="17">
        <f t="shared" si="2"/>
        <v>0</v>
      </c>
      <c r="X9" s="26"/>
      <c r="Y9" s="26"/>
      <c r="Z9" s="27"/>
      <c r="AB9" s="137"/>
      <c r="AE9" s="137"/>
    </row>
    <row r="10" spans="1:32">
      <c r="A10" s="170"/>
      <c r="B10" s="18"/>
      <c r="C10" s="19"/>
      <c r="D10" s="20"/>
      <c r="E10" s="20"/>
      <c r="F10" s="21"/>
      <c r="G10" s="21"/>
      <c r="H10" s="17">
        <f t="shared" si="0"/>
        <v>0</v>
      </c>
      <c r="I10" s="22"/>
      <c r="J10" s="23"/>
      <c r="K10" s="21"/>
      <c r="L10" s="24"/>
      <c r="M10" s="23"/>
      <c r="N10" s="21"/>
      <c r="O10" s="24"/>
      <c r="P10" s="23"/>
      <c r="Q10" s="21"/>
      <c r="R10" s="24"/>
      <c r="S10" s="23"/>
      <c r="T10" s="21"/>
      <c r="U10" s="24"/>
      <c r="V10" s="25">
        <f t="shared" si="1"/>
        <v>0</v>
      </c>
      <c r="W10" s="17">
        <f t="shared" si="2"/>
        <v>0</v>
      </c>
      <c r="X10" s="26"/>
      <c r="Y10" s="26"/>
      <c r="Z10" s="27"/>
      <c r="AB10" s="137"/>
      <c r="AE10" s="137"/>
    </row>
    <row r="11" spans="1:32">
      <c r="A11" s="170"/>
      <c r="B11" s="35"/>
      <c r="C11" s="19"/>
      <c r="D11" s="20"/>
      <c r="E11" s="20"/>
      <c r="F11" s="21"/>
      <c r="G11" s="21"/>
      <c r="H11" s="17">
        <f t="shared" si="0"/>
        <v>0</v>
      </c>
      <c r="I11" s="33"/>
      <c r="J11" s="23"/>
      <c r="K11" s="21"/>
      <c r="L11" s="24"/>
      <c r="M11" s="23"/>
      <c r="N11" s="21"/>
      <c r="O11" s="24"/>
      <c r="P11" s="23"/>
      <c r="Q11" s="21"/>
      <c r="R11" s="24"/>
      <c r="S11" s="23"/>
      <c r="T11" s="21"/>
      <c r="U11" s="24"/>
      <c r="V11" s="25">
        <f t="shared" si="1"/>
        <v>0</v>
      </c>
      <c r="W11" s="17">
        <f t="shared" si="2"/>
        <v>0</v>
      </c>
      <c r="X11" s="26"/>
      <c r="Y11" s="55"/>
      <c r="Z11" s="27"/>
      <c r="AB11" s="137"/>
      <c r="AE11" s="137"/>
    </row>
    <row r="12" spans="1:32">
      <c r="A12" s="170"/>
      <c r="B12" s="18"/>
      <c r="C12" s="19"/>
      <c r="D12" s="20"/>
      <c r="E12" s="20"/>
      <c r="F12" s="21"/>
      <c r="G12" s="21"/>
      <c r="H12" s="17">
        <f t="shared" si="0"/>
        <v>0</v>
      </c>
      <c r="I12" s="33"/>
      <c r="J12" s="23"/>
      <c r="K12" s="21"/>
      <c r="L12" s="24"/>
      <c r="M12" s="23"/>
      <c r="N12" s="21"/>
      <c r="O12" s="24"/>
      <c r="P12" s="23"/>
      <c r="Q12" s="21"/>
      <c r="R12" s="24"/>
      <c r="S12" s="23"/>
      <c r="T12" s="21"/>
      <c r="U12" s="24"/>
      <c r="V12" s="25">
        <f t="shared" si="1"/>
        <v>0</v>
      </c>
      <c r="W12" s="17">
        <f t="shared" si="2"/>
        <v>0</v>
      </c>
      <c r="X12" s="26"/>
      <c r="Y12" s="55"/>
      <c r="Z12" s="27"/>
      <c r="AB12" s="137"/>
      <c r="AE12" s="137"/>
    </row>
    <row r="13" spans="1:32">
      <c r="A13" s="170"/>
      <c r="B13" s="28"/>
      <c r="C13" s="19"/>
      <c r="D13" s="20"/>
      <c r="E13" s="20"/>
      <c r="F13" s="21"/>
      <c r="G13" s="21"/>
      <c r="H13" s="17">
        <f t="shared" si="0"/>
        <v>0</v>
      </c>
      <c r="I13" s="33"/>
      <c r="J13" s="23"/>
      <c r="K13" s="21"/>
      <c r="L13" s="24"/>
      <c r="M13" s="23"/>
      <c r="N13" s="21"/>
      <c r="O13" s="24"/>
      <c r="P13" s="23"/>
      <c r="Q13" s="21"/>
      <c r="R13" s="24"/>
      <c r="S13" s="23"/>
      <c r="T13" s="21"/>
      <c r="U13" s="24"/>
      <c r="V13" s="25">
        <f t="shared" si="1"/>
        <v>0</v>
      </c>
      <c r="W13" s="17">
        <f t="shared" si="2"/>
        <v>0</v>
      </c>
      <c r="X13" s="26"/>
      <c r="Y13" s="55"/>
      <c r="Z13" s="27"/>
      <c r="AB13" s="137"/>
      <c r="AE13" s="137"/>
    </row>
    <row r="14" spans="1:32" ht="73.5" customHeight="1">
      <c r="A14" s="170"/>
      <c r="B14" s="18"/>
      <c r="C14" s="19"/>
      <c r="D14" s="20"/>
      <c r="E14" s="20"/>
      <c r="F14" s="21"/>
      <c r="G14" s="21"/>
      <c r="H14" s="17">
        <f t="shared" si="0"/>
        <v>0</v>
      </c>
      <c r="I14" s="26"/>
      <c r="J14" s="23"/>
      <c r="K14" s="21"/>
      <c r="L14" s="24"/>
      <c r="M14" s="23"/>
      <c r="N14" s="21"/>
      <c r="O14" s="24"/>
      <c r="P14" s="23"/>
      <c r="Q14" s="21"/>
      <c r="R14" s="24"/>
      <c r="S14" s="23"/>
      <c r="T14" s="21"/>
      <c r="U14" s="24"/>
      <c r="V14" s="25">
        <f t="shared" si="1"/>
        <v>0</v>
      </c>
      <c r="W14" s="17">
        <f t="shared" si="2"/>
        <v>0</v>
      </c>
      <c r="X14" s="22"/>
      <c r="Y14" s="55"/>
      <c r="Z14" s="27"/>
      <c r="AB14" s="137"/>
      <c r="AE14" s="137"/>
    </row>
    <row r="15" spans="1:32" ht="42.75" customHeight="1">
      <c r="A15" s="170"/>
      <c r="B15" s="35"/>
      <c r="C15" s="19"/>
      <c r="D15" s="20"/>
      <c r="E15" s="20"/>
      <c r="F15" s="21"/>
      <c r="G15" s="21"/>
      <c r="H15" s="17">
        <f t="shared" si="0"/>
        <v>0</v>
      </c>
      <c r="I15" s="26"/>
      <c r="J15" s="23"/>
      <c r="K15" s="21"/>
      <c r="L15" s="24"/>
      <c r="M15" s="23"/>
      <c r="N15" s="21"/>
      <c r="O15" s="24"/>
      <c r="P15" s="23"/>
      <c r="Q15" s="21"/>
      <c r="R15" s="24"/>
      <c r="S15" s="23"/>
      <c r="T15" s="21"/>
      <c r="U15" s="24"/>
      <c r="V15" s="25">
        <f t="shared" si="1"/>
        <v>0</v>
      </c>
      <c r="W15" s="17">
        <f t="shared" si="2"/>
        <v>0</v>
      </c>
      <c r="X15" s="26"/>
      <c r="Y15" s="55"/>
      <c r="Z15" s="27"/>
      <c r="AB15" s="137"/>
      <c r="AE15" s="137"/>
    </row>
    <row r="16" spans="1:32">
      <c r="A16" s="170"/>
      <c r="B16" s="189"/>
      <c r="C16" s="19"/>
      <c r="D16" s="20"/>
      <c r="E16" s="20"/>
      <c r="F16" s="21"/>
      <c r="G16" s="21"/>
      <c r="H16" s="17">
        <f t="shared" si="0"/>
        <v>0</v>
      </c>
      <c r="I16" s="22"/>
      <c r="J16" s="23"/>
      <c r="K16" s="21"/>
      <c r="L16" s="24"/>
      <c r="M16" s="23"/>
      <c r="N16" s="21"/>
      <c r="O16" s="24"/>
      <c r="P16" s="23"/>
      <c r="Q16" s="21"/>
      <c r="R16" s="24"/>
      <c r="S16" s="23"/>
      <c r="T16" s="21"/>
      <c r="U16" s="24"/>
      <c r="V16" s="25">
        <f t="shared" si="1"/>
        <v>0</v>
      </c>
      <c r="W16" s="17">
        <f t="shared" si="2"/>
        <v>0</v>
      </c>
      <c r="X16" s="26"/>
      <c r="Y16" s="55"/>
      <c r="Z16" s="27"/>
      <c r="AB16" s="137"/>
      <c r="AE16" s="137"/>
    </row>
    <row r="17" spans="1:31">
      <c r="A17" s="170"/>
      <c r="B17" s="194"/>
      <c r="C17" s="19"/>
      <c r="D17" s="20"/>
      <c r="E17" s="20"/>
      <c r="F17" s="21"/>
      <c r="G17" s="21"/>
      <c r="H17" s="17">
        <f t="shared" si="0"/>
        <v>0</v>
      </c>
      <c r="I17" s="22"/>
      <c r="J17" s="23"/>
      <c r="K17" s="21"/>
      <c r="L17" s="24"/>
      <c r="M17" s="23"/>
      <c r="N17" s="21"/>
      <c r="O17" s="24"/>
      <c r="P17" s="23"/>
      <c r="Q17" s="21"/>
      <c r="R17" s="24"/>
      <c r="S17" s="23"/>
      <c r="T17" s="21"/>
      <c r="U17" s="24"/>
      <c r="V17" s="25">
        <f t="shared" si="1"/>
        <v>0</v>
      </c>
      <c r="W17" s="17">
        <f t="shared" si="2"/>
        <v>0</v>
      </c>
      <c r="X17" s="26"/>
      <c r="Y17" s="55"/>
      <c r="Z17" s="27"/>
      <c r="AB17" s="137"/>
      <c r="AE17" s="137"/>
    </row>
    <row r="18" spans="1:31">
      <c r="A18" s="170"/>
      <c r="B18" s="194"/>
      <c r="C18" s="19"/>
      <c r="D18" s="20"/>
      <c r="E18" s="20"/>
      <c r="F18" s="21"/>
      <c r="G18" s="21"/>
      <c r="H18" s="17">
        <f t="shared" si="0"/>
        <v>0</v>
      </c>
      <c r="I18" s="22"/>
      <c r="J18" s="23"/>
      <c r="K18" s="21"/>
      <c r="L18" s="24"/>
      <c r="M18" s="23"/>
      <c r="N18" s="21"/>
      <c r="O18" s="24"/>
      <c r="P18" s="23"/>
      <c r="Q18" s="21"/>
      <c r="R18" s="24"/>
      <c r="S18" s="23"/>
      <c r="T18" s="21"/>
      <c r="U18" s="24"/>
      <c r="V18" s="25">
        <f t="shared" si="1"/>
        <v>0</v>
      </c>
      <c r="W18" s="17">
        <f t="shared" si="2"/>
        <v>0</v>
      </c>
      <c r="X18" s="22"/>
      <c r="Y18" s="55"/>
      <c r="Z18" s="27"/>
      <c r="AB18" s="137"/>
      <c r="AE18" s="137"/>
    </row>
    <row r="19" spans="1:31" ht="79.5" customHeight="1">
      <c r="A19" s="170"/>
      <c r="B19" s="194"/>
      <c r="C19" s="178"/>
      <c r="D19" s="178"/>
      <c r="E19" s="20"/>
      <c r="F19" s="21"/>
      <c r="G19" s="21"/>
      <c r="H19" s="17">
        <f t="shared" si="0"/>
        <v>0</v>
      </c>
      <c r="I19" s="29"/>
      <c r="J19" s="23"/>
      <c r="K19" s="21"/>
      <c r="L19" s="24"/>
      <c r="M19" s="23"/>
      <c r="N19" s="21"/>
      <c r="O19" s="24"/>
      <c r="P19" s="23"/>
      <c r="Q19" s="21"/>
      <c r="R19" s="24"/>
      <c r="S19" s="23"/>
      <c r="T19" s="21"/>
      <c r="U19" s="24"/>
      <c r="V19" s="25">
        <f t="shared" si="1"/>
        <v>0</v>
      </c>
      <c r="W19" s="17">
        <f t="shared" si="2"/>
        <v>0</v>
      </c>
      <c r="X19" s="26"/>
      <c r="Y19" s="55"/>
      <c r="Z19" s="27"/>
      <c r="AB19" s="137"/>
      <c r="AE19" s="137"/>
    </row>
    <row r="20" spans="1:31">
      <c r="A20" s="170"/>
      <c r="B20" s="194"/>
      <c r="C20" s="179"/>
      <c r="D20" s="179"/>
      <c r="E20" s="20"/>
      <c r="F20" s="21"/>
      <c r="G20" s="21"/>
      <c r="H20" s="17">
        <f t="shared" si="0"/>
        <v>0</v>
      </c>
      <c r="I20" s="22"/>
      <c r="J20" s="23"/>
      <c r="K20" s="21"/>
      <c r="L20" s="24"/>
      <c r="M20" s="23"/>
      <c r="N20" s="21"/>
      <c r="O20" s="24"/>
      <c r="P20" s="23"/>
      <c r="Q20" s="21"/>
      <c r="R20" s="24"/>
      <c r="S20" s="23"/>
      <c r="T20" s="21"/>
      <c r="U20" s="24"/>
      <c r="V20" s="25">
        <f t="shared" si="1"/>
        <v>0</v>
      </c>
      <c r="W20" s="17">
        <f t="shared" si="2"/>
        <v>0</v>
      </c>
      <c r="X20" s="26"/>
      <c r="Y20" s="55"/>
      <c r="Z20" s="27"/>
      <c r="AB20" s="137"/>
      <c r="AE20" s="137"/>
    </row>
    <row r="21" spans="1:31">
      <c r="A21" s="170"/>
      <c r="B21" s="194"/>
      <c r="C21" s="19"/>
      <c r="D21" s="20"/>
      <c r="E21" s="20"/>
      <c r="F21" s="21"/>
      <c r="G21" s="21"/>
      <c r="H21" s="17">
        <f t="shared" si="0"/>
        <v>0</v>
      </c>
      <c r="I21" s="22"/>
      <c r="J21" s="23"/>
      <c r="K21" s="21"/>
      <c r="L21" s="24"/>
      <c r="M21" s="23"/>
      <c r="N21" s="21"/>
      <c r="O21" s="24"/>
      <c r="P21" s="23"/>
      <c r="Q21" s="21"/>
      <c r="R21" s="24"/>
      <c r="S21" s="23"/>
      <c r="T21" s="21"/>
      <c r="U21" s="24"/>
      <c r="V21" s="25">
        <f t="shared" si="1"/>
        <v>0</v>
      </c>
      <c r="W21" s="17">
        <f t="shared" si="2"/>
        <v>0</v>
      </c>
      <c r="X21" s="26"/>
      <c r="Y21" s="55"/>
      <c r="Z21" s="27"/>
      <c r="AB21" s="137"/>
      <c r="AE21" s="137"/>
    </row>
    <row r="22" spans="1:31" ht="37.5" customHeight="1">
      <c r="A22" s="170"/>
      <c r="B22" s="194"/>
      <c r="C22" s="19"/>
      <c r="D22" s="20"/>
      <c r="E22" s="20"/>
      <c r="F22" s="21"/>
      <c r="G22" s="21"/>
      <c r="H22" s="17">
        <f t="shared" si="0"/>
        <v>0</v>
      </c>
      <c r="I22" s="34"/>
      <c r="J22" s="23"/>
      <c r="K22" s="21"/>
      <c r="L22" s="24"/>
      <c r="M22" s="23"/>
      <c r="N22" s="21"/>
      <c r="O22" s="24"/>
      <c r="P22" s="23"/>
      <c r="Q22" s="21"/>
      <c r="R22" s="24"/>
      <c r="S22" s="23"/>
      <c r="T22" s="21"/>
      <c r="U22" s="24"/>
      <c r="V22" s="25">
        <f t="shared" si="1"/>
        <v>0</v>
      </c>
      <c r="W22" s="17">
        <f t="shared" si="2"/>
        <v>0</v>
      </c>
      <c r="X22" s="26"/>
      <c r="Y22" s="55"/>
      <c r="Z22" s="27"/>
      <c r="AB22" s="137"/>
      <c r="AE22" s="137"/>
    </row>
    <row r="23" spans="1:31">
      <c r="A23" s="170"/>
      <c r="B23" s="194"/>
      <c r="C23" s="19"/>
      <c r="D23" s="20"/>
      <c r="E23" s="20"/>
      <c r="F23" s="21"/>
      <c r="G23" s="21"/>
      <c r="H23" s="17">
        <f t="shared" si="0"/>
        <v>0</v>
      </c>
      <c r="I23" s="33"/>
      <c r="J23" s="23"/>
      <c r="K23" s="21"/>
      <c r="L23" s="24"/>
      <c r="M23" s="23"/>
      <c r="N23" s="21"/>
      <c r="O23" s="24"/>
      <c r="P23" s="23"/>
      <c r="Q23" s="21"/>
      <c r="R23" s="24"/>
      <c r="S23" s="23"/>
      <c r="T23" s="21"/>
      <c r="U23" s="24"/>
      <c r="V23" s="25">
        <f t="shared" si="1"/>
        <v>0</v>
      </c>
      <c r="W23" s="17">
        <f t="shared" si="2"/>
        <v>0</v>
      </c>
      <c r="X23" s="26"/>
      <c r="Y23" s="55"/>
      <c r="Z23" s="27"/>
      <c r="AB23" s="137"/>
      <c r="AE23" s="137"/>
    </row>
    <row r="24" spans="1:31">
      <c r="A24" s="170"/>
      <c r="B24" s="194"/>
      <c r="C24" s="19"/>
      <c r="D24" s="20"/>
      <c r="E24" s="20"/>
      <c r="F24" s="21"/>
      <c r="G24" s="21"/>
      <c r="H24" s="17">
        <f t="shared" si="0"/>
        <v>0</v>
      </c>
      <c r="I24" s="32"/>
      <c r="J24" s="23"/>
      <c r="K24" s="21"/>
      <c r="L24" s="24"/>
      <c r="M24" s="23"/>
      <c r="N24" s="21"/>
      <c r="O24" s="24"/>
      <c r="P24" s="23"/>
      <c r="Q24" s="21"/>
      <c r="R24" s="24"/>
      <c r="S24" s="23"/>
      <c r="T24" s="21"/>
      <c r="U24" s="24"/>
      <c r="V24" s="25">
        <f t="shared" si="1"/>
        <v>0</v>
      </c>
      <c r="W24" s="17">
        <f t="shared" si="2"/>
        <v>0</v>
      </c>
      <c r="X24" s="26"/>
      <c r="Y24" s="55"/>
      <c r="Z24" s="27"/>
      <c r="AB24" s="137"/>
      <c r="AE24" s="137"/>
    </row>
    <row r="25" spans="1:31">
      <c r="A25" s="170"/>
      <c r="B25" s="194"/>
      <c r="C25" s="19"/>
      <c r="D25" s="20"/>
      <c r="E25" s="20"/>
      <c r="F25" s="21"/>
      <c r="G25" s="21"/>
      <c r="H25" s="17">
        <f t="shared" si="0"/>
        <v>0</v>
      </c>
      <c r="I25" s="29"/>
      <c r="J25" s="23"/>
      <c r="K25" s="21"/>
      <c r="L25" s="24"/>
      <c r="M25" s="23"/>
      <c r="N25" s="21"/>
      <c r="O25" s="24"/>
      <c r="P25" s="23"/>
      <c r="Q25" s="21"/>
      <c r="R25" s="24"/>
      <c r="S25" s="23"/>
      <c r="T25" s="21"/>
      <c r="U25" s="24"/>
      <c r="V25" s="25">
        <f t="shared" si="1"/>
        <v>0</v>
      </c>
      <c r="W25" s="17">
        <f t="shared" si="2"/>
        <v>0</v>
      </c>
      <c r="X25" s="26"/>
      <c r="Y25" s="55"/>
      <c r="Z25" s="27"/>
      <c r="AB25" s="137"/>
      <c r="AE25" s="137"/>
    </row>
    <row r="26" spans="1:31" ht="33.75" customHeight="1">
      <c r="A26" s="170"/>
      <c r="B26" s="190"/>
      <c r="C26" s="19"/>
      <c r="D26" s="20"/>
      <c r="E26" s="20"/>
      <c r="F26" s="21"/>
      <c r="G26" s="21"/>
      <c r="H26" s="17">
        <f t="shared" si="0"/>
        <v>0</v>
      </c>
      <c r="I26" s="22"/>
      <c r="J26" s="23"/>
      <c r="K26" s="21"/>
      <c r="L26" s="24"/>
      <c r="M26" s="23"/>
      <c r="N26" s="21"/>
      <c r="O26" s="24"/>
      <c r="P26" s="23"/>
      <c r="Q26" s="21"/>
      <c r="R26" s="24"/>
      <c r="S26" s="23"/>
      <c r="T26" s="21"/>
      <c r="U26" s="24"/>
      <c r="V26" s="25">
        <f t="shared" si="1"/>
        <v>0</v>
      </c>
      <c r="W26" s="17">
        <f t="shared" si="2"/>
        <v>0</v>
      </c>
      <c r="X26" s="26"/>
      <c r="Y26" s="55"/>
      <c r="Z26" s="27"/>
      <c r="AB26" s="137"/>
      <c r="AE26" s="137"/>
    </row>
    <row r="27" spans="1:31">
      <c r="A27" s="171"/>
      <c r="B27" s="28"/>
      <c r="C27" s="56"/>
      <c r="D27" s="20"/>
      <c r="E27" s="20"/>
      <c r="F27" s="21"/>
      <c r="G27" s="21"/>
      <c r="H27" s="17">
        <f t="shared" si="0"/>
        <v>0</v>
      </c>
      <c r="I27" s="22"/>
      <c r="J27" s="23"/>
      <c r="K27" s="21"/>
      <c r="L27" s="24"/>
      <c r="M27" s="23"/>
      <c r="N27" s="21"/>
      <c r="O27" s="24"/>
      <c r="P27" s="23"/>
      <c r="Q27" s="21"/>
      <c r="R27" s="24"/>
      <c r="S27" s="23"/>
      <c r="T27" s="21"/>
      <c r="U27" s="24"/>
      <c r="V27" s="25">
        <f t="shared" si="1"/>
        <v>0</v>
      </c>
      <c r="W27" s="17">
        <f t="shared" si="2"/>
        <v>0</v>
      </c>
      <c r="X27" s="26"/>
      <c r="Y27" s="55"/>
      <c r="Z27" s="27"/>
      <c r="AB27" s="137"/>
      <c r="AE27" s="137"/>
    </row>
    <row r="28" spans="1:31" ht="25.5" customHeight="1">
      <c r="A28" s="58"/>
      <c r="B28" s="18" t="s">
        <v>110</v>
      </c>
      <c r="C28" s="19" t="s">
        <v>111</v>
      </c>
      <c r="D28" s="20" t="s">
        <v>112</v>
      </c>
      <c r="E28" s="20" t="s">
        <v>113</v>
      </c>
      <c r="F28" s="21">
        <v>5</v>
      </c>
      <c r="G28" s="21">
        <v>3</v>
      </c>
      <c r="H28" s="17">
        <f t="shared" si="0"/>
        <v>15</v>
      </c>
      <c r="I28" s="26"/>
      <c r="J28" s="23"/>
      <c r="K28" s="21"/>
      <c r="L28" s="24"/>
      <c r="M28" s="23"/>
      <c r="N28" s="21"/>
      <c r="O28" s="24"/>
      <c r="P28" s="23"/>
      <c r="Q28" s="21"/>
      <c r="R28" s="24"/>
      <c r="S28" s="23"/>
      <c r="T28" s="21"/>
      <c r="U28" s="24"/>
      <c r="V28" s="25">
        <f t="shared" si="1"/>
        <v>0</v>
      </c>
      <c r="W28" s="17">
        <f t="shared" si="2"/>
        <v>0</v>
      </c>
      <c r="X28" s="36"/>
      <c r="Y28" s="51"/>
      <c r="Z28" s="52"/>
      <c r="AB28" s="137"/>
      <c r="AE28" s="137"/>
    </row>
    <row r="29" spans="1:31" ht="25.5" customHeight="1">
      <c r="A29" s="191" t="s">
        <v>114</v>
      </c>
      <c r="B29" s="189" t="s">
        <v>115</v>
      </c>
      <c r="C29" s="57" t="s">
        <v>116</v>
      </c>
      <c r="D29" s="20" t="s">
        <v>117</v>
      </c>
      <c r="E29" s="20" t="s">
        <v>118</v>
      </c>
      <c r="F29" s="21">
        <v>4</v>
      </c>
      <c r="G29" s="21">
        <v>2</v>
      </c>
      <c r="H29" s="17">
        <f t="shared" si="0"/>
        <v>8</v>
      </c>
      <c r="I29" s="22"/>
      <c r="J29" s="23"/>
      <c r="K29" s="21"/>
      <c r="L29" s="24"/>
      <c r="M29" s="23"/>
      <c r="N29" s="21"/>
      <c r="O29" s="24"/>
      <c r="P29" s="23"/>
      <c r="Q29" s="21"/>
      <c r="R29" s="24"/>
      <c r="S29" s="23"/>
      <c r="T29" s="21"/>
      <c r="U29" s="24"/>
      <c r="V29" s="25">
        <f t="shared" si="1"/>
        <v>0</v>
      </c>
      <c r="W29" s="17">
        <f t="shared" si="2"/>
        <v>0</v>
      </c>
      <c r="X29" s="26"/>
      <c r="Y29" s="55"/>
      <c r="Z29" s="27"/>
      <c r="AB29" s="137"/>
      <c r="AE29" s="137"/>
    </row>
    <row r="30" spans="1:31" ht="38.25" customHeight="1">
      <c r="A30" s="170"/>
      <c r="B30" s="194"/>
      <c r="C30" s="57" t="s">
        <v>119</v>
      </c>
      <c r="D30" s="20" t="s">
        <v>120</v>
      </c>
      <c r="E30" s="20" t="s">
        <v>121</v>
      </c>
      <c r="F30" s="21">
        <v>4</v>
      </c>
      <c r="G30" s="21">
        <v>2</v>
      </c>
      <c r="H30" s="17">
        <f t="shared" si="0"/>
        <v>8</v>
      </c>
      <c r="I30" s="22"/>
      <c r="J30" s="23"/>
      <c r="K30" s="21"/>
      <c r="L30" s="24"/>
      <c r="M30" s="23"/>
      <c r="N30" s="21"/>
      <c r="O30" s="24"/>
      <c r="P30" s="23"/>
      <c r="Q30" s="21"/>
      <c r="R30" s="24"/>
      <c r="S30" s="23"/>
      <c r="T30" s="21"/>
      <c r="U30" s="24"/>
      <c r="V30" s="25">
        <f t="shared" si="1"/>
        <v>0</v>
      </c>
      <c r="W30" s="17">
        <f t="shared" si="2"/>
        <v>0</v>
      </c>
      <c r="X30" s="26"/>
      <c r="Y30" s="55"/>
      <c r="Z30" s="27"/>
      <c r="AB30" s="137"/>
      <c r="AE30" s="137"/>
    </row>
    <row r="31" spans="1:31" ht="25.5" customHeight="1">
      <c r="A31" s="170"/>
      <c r="B31" s="190"/>
      <c r="C31" s="20" t="s">
        <v>122</v>
      </c>
      <c r="D31" s="20" t="s">
        <v>123</v>
      </c>
      <c r="E31" s="20" t="s">
        <v>118</v>
      </c>
      <c r="F31" s="21">
        <v>5</v>
      </c>
      <c r="G31" s="21">
        <v>2</v>
      </c>
      <c r="H31" s="17">
        <f t="shared" si="0"/>
        <v>10</v>
      </c>
      <c r="I31" s="26"/>
      <c r="J31" s="23"/>
      <c r="K31" s="21"/>
      <c r="L31" s="24"/>
      <c r="M31" s="23"/>
      <c r="N31" s="21"/>
      <c r="O31" s="24"/>
      <c r="P31" s="23"/>
      <c r="Q31" s="21"/>
      <c r="R31" s="24"/>
      <c r="S31" s="23"/>
      <c r="T31" s="21"/>
      <c r="U31" s="24"/>
      <c r="V31" s="25">
        <f t="shared" si="1"/>
        <v>0</v>
      </c>
      <c r="W31" s="17">
        <f t="shared" si="2"/>
        <v>0</v>
      </c>
      <c r="X31" s="26"/>
      <c r="Y31" s="55"/>
      <c r="Z31" s="27"/>
      <c r="AB31" s="137"/>
      <c r="AE31" s="137"/>
    </row>
    <row r="32" spans="1:31" ht="25.5" customHeight="1">
      <c r="A32" s="170"/>
      <c r="B32" s="20" t="s">
        <v>124</v>
      </c>
      <c r="C32" s="19" t="s">
        <v>125</v>
      </c>
      <c r="D32" s="20" t="s">
        <v>126</v>
      </c>
      <c r="E32" s="20" t="s">
        <v>127</v>
      </c>
      <c r="F32" s="21">
        <v>5</v>
      </c>
      <c r="G32" s="21">
        <v>2</v>
      </c>
      <c r="H32" s="17">
        <f t="shared" si="0"/>
        <v>10</v>
      </c>
      <c r="I32" s="26"/>
      <c r="J32" s="23"/>
      <c r="K32" s="21"/>
      <c r="L32" s="24"/>
      <c r="M32" s="23"/>
      <c r="N32" s="21"/>
      <c r="O32" s="24"/>
      <c r="P32" s="23"/>
      <c r="Q32" s="21"/>
      <c r="R32" s="24"/>
      <c r="S32" s="23"/>
      <c r="T32" s="21"/>
      <c r="U32" s="24"/>
      <c r="V32" s="25">
        <f t="shared" si="1"/>
        <v>0</v>
      </c>
      <c r="W32" s="17">
        <f t="shared" si="2"/>
        <v>0</v>
      </c>
      <c r="X32" s="26"/>
      <c r="Y32" s="55"/>
      <c r="Z32" s="27"/>
      <c r="AB32" s="137"/>
      <c r="AE32" s="137"/>
    </row>
    <row r="33" spans="1:31">
      <c r="A33" s="183" t="s">
        <v>128</v>
      </c>
      <c r="B33" s="189" t="s">
        <v>118</v>
      </c>
      <c r="C33" s="19" t="s">
        <v>129</v>
      </c>
      <c r="D33" s="19" t="s">
        <v>130</v>
      </c>
      <c r="E33" s="178" t="s">
        <v>131</v>
      </c>
      <c r="F33" s="21">
        <v>5</v>
      </c>
      <c r="G33" s="21">
        <v>2</v>
      </c>
      <c r="H33" s="48">
        <f t="shared" si="0"/>
        <v>10</v>
      </c>
      <c r="I33" s="26"/>
      <c r="J33" s="23"/>
      <c r="K33" s="21"/>
      <c r="L33" s="24"/>
      <c r="M33" s="23"/>
      <c r="N33" s="21"/>
      <c r="O33" s="24"/>
      <c r="P33" s="23"/>
      <c r="Q33" s="21"/>
      <c r="R33" s="24"/>
      <c r="S33" s="23"/>
      <c r="T33" s="21"/>
      <c r="U33" s="24"/>
      <c r="V33" s="25">
        <f t="shared" si="1"/>
        <v>0</v>
      </c>
      <c r="W33" s="17">
        <f t="shared" si="2"/>
        <v>0</v>
      </c>
      <c r="X33" s="26"/>
      <c r="Y33" s="55"/>
      <c r="Z33" s="27"/>
      <c r="AB33" s="137"/>
      <c r="AE33" s="137"/>
    </row>
    <row r="34" spans="1:31" ht="25.5" customHeight="1">
      <c r="A34" s="170"/>
      <c r="B34" s="190"/>
      <c r="C34" s="19" t="s">
        <v>132</v>
      </c>
      <c r="D34" s="20" t="s">
        <v>133</v>
      </c>
      <c r="E34" s="179"/>
      <c r="F34" s="21">
        <v>4</v>
      </c>
      <c r="G34" s="21">
        <v>2</v>
      </c>
      <c r="H34" s="48">
        <f t="shared" si="0"/>
        <v>8</v>
      </c>
      <c r="I34" s="26"/>
      <c r="J34" s="23"/>
      <c r="K34" s="21"/>
      <c r="L34" s="24"/>
      <c r="M34" s="23"/>
      <c r="N34" s="21"/>
      <c r="O34" s="24"/>
      <c r="P34" s="23"/>
      <c r="Q34" s="21"/>
      <c r="R34" s="24"/>
      <c r="S34" s="23"/>
      <c r="T34" s="21"/>
      <c r="U34" s="24"/>
      <c r="V34" s="25">
        <f t="shared" si="1"/>
        <v>0</v>
      </c>
      <c r="W34" s="17">
        <f t="shared" si="2"/>
        <v>0</v>
      </c>
      <c r="X34" s="26"/>
      <c r="Y34" s="55"/>
      <c r="Z34" s="27"/>
      <c r="AB34" s="137"/>
      <c r="AE34" s="137"/>
    </row>
    <row r="35" spans="1:31">
      <c r="A35" s="170"/>
      <c r="B35" s="18" t="s">
        <v>134</v>
      </c>
      <c r="C35" s="19" t="s">
        <v>135</v>
      </c>
      <c r="D35" s="20" t="s">
        <v>136</v>
      </c>
      <c r="E35" s="31" t="s">
        <v>131</v>
      </c>
      <c r="F35" s="21">
        <v>5</v>
      </c>
      <c r="G35" s="21">
        <v>2</v>
      </c>
      <c r="H35" s="48">
        <f t="shared" si="0"/>
        <v>10</v>
      </c>
      <c r="I35" s="22"/>
      <c r="J35" s="23"/>
      <c r="K35" s="21"/>
      <c r="L35" s="24"/>
      <c r="M35" s="23"/>
      <c r="N35" s="21"/>
      <c r="O35" s="24"/>
      <c r="P35" s="23"/>
      <c r="Q35" s="21"/>
      <c r="R35" s="24"/>
      <c r="S35" s="23"/>
      <c r="T35" s="21"/>
      <c r="U35" s="24"/>
      <c r="V35" s="25">
        <f t="shared" si="1"/>
        <v>0</v>
      </c>
      <c r="W35" s="17">
        <f t="shared" si="2"/>
        <v>0</v>
      </c>
      <c r="X35" s="26"/>
      <c r="Y35" s="26"/>
      <c r="Z35" s="27"/>
      <c r="AB35" s="137"/>
      <c r="AE35" s="137"/>
    </row>
    <row r="36" spans="1:31" ht="25.5" customHeight="1">
      <c r="A36" s="170"/>
      <c r="B36" s="28" t="s">
        <v>124</v>
      </c>
      <c r="C36" s="19" t="s">
        <v>125</v>
      </c>
      <c r="D36" s="20" t="s">
        <v>126</v>
      </c>
      <c r="E36" s="20" t="s">
        <v>127</v>
      </c>
      <c r="F36" s="21">
        <v>5</v>
      </c>
      <c r="G36" s="21">
        <v>2</v>
      </c>
      <c r="H36" s="17">
        <f t="shared" si="0"/>
        <v>10</v>
      </c>
      <c r="I36" s="26"/>
      <c r="J36" s="23"/>
      <c r="K36" s="21"/>
      <c r="L36" s="24"/>
      <c r="M36" s="23"/>
      <c r="N36" s="21"/>
      <c r="O36" s="24"/>
      <c r="P36" s="23"/>
      <c r="Q36" s="21"/>
      <c r="R36" s="24"/>
      <c r="S36" s="23"/>
      <c r="T36" s="21"/>
      <c r="U36" s="24"/>
      <c r="V36" s="25">
        <f t="shared" si="1"/>
        <v>0</v>
      </c>
      <c r="W36" s="17">
        <f t="shared" si="2"/>
        <v>0</v>
      </c>
      <c r="X36" s="26"/>
      <c r="Y36" s="55"/>
      <c r="Z36" s="27"/>
      <c r="AB36" s="137"/>
      <c r="AE36" s="137"/>
    </row>
    <row r="37" spans="1:31" ht="25.5" customHeight="1">
      <c r="A37" s="170"/>
      <c r="B37" s="28" t="s">
        <v>137</v>
      </c>
      <c r="C37" s="19" t="s">
        <v>138</v>
      </c>
      <c r="D37" s="20" t="s">
        <v>139</v>
      </c>
      <c r="E37" s="20" t="s">
        <v>140</v>
      </c>
      <c r="F37" s="21">
        <v>3</v>
      </c>
      <c r="G37" s="21">
        <v>3</v>
      </c>
      <c r="H37" s="17">
        <f t="shared" si="0"/>
        <v>9</v>
      </c>
      <c r="I37" s="26"/>
      <c r="J37" s="23"/>
      <c r="K37" s="21"/>
      <c r="L37" s="24"/>
      <c r="M37" s="23"/>
      <c r="N37" s="21"/>
      <c r="O37" s="24"/>
      <c r="P37" s="23"/>
      <c r="Q37" s="21"/>
      <c r="R37" s="24"/>
      <c r="S37" s="23"/>
      <c r="T37" s="21"/>
      <c r="U37" s="24"/>
      <c r="V37" s="25">
        <f t="shared" si="1"/>
        <v>0</v>
      </c>
      <c r="W37" s="17">
        <f t="shared" si="2"/>
        <v>0</v>
      </c>
      <c r="X37" s="26"/>
      <c r="Y37" s="55"/>
      <c r="Z37" s="27"/>
      <c r="AB37" s="137"/>
      <c r="AE37" s="137"/>
    </row>
    <row r="38" spans="1:31" ht="38.25" customHeight="1">
      <c r="A38" s="170"/>
      <c r="B38" s="28" t="s">
        <v>141</v>
      </c>
      <c r="C38" s="19" t="s">
        <v>142</v>
      </c>
      <c r="D38" s="20" t="s">
        <v>143</v>
      </c>
      <c r="E38" s="20" t="s">
        <v>131</v>
      </c>
      <c r="F38" s="21">
        <v>3</v>
      </c>
      <c r="G38" s="21">
        <v>2</v>
      </c>
      <c r="H38" s="17">
        <f t="shared" ref="H38:H69" si="3">F38*G38</f>
        <v>6</v>
      </c>
      <c r="I38" s="26"/>
      <c r="J38" s="23"/>
      <c r="K38" s="21"/>
      <c r="L38" s="24"/>
      <c r="M38" s="23"/>
      <c r="N38" s="21"/>
      <c r="O38" s="24"/>
      <c r="P38" s="23"/>
      <c r="Q38" s="21"/>
      <c r="R38" s="24"/>
      <c r="S38" s="23"/>
      <c r="T38" s="21"/>
      <c r="U38" s="24"/>
      <c r="V38" s="25">
        <f t="shared" ref="V38:V69" si="4">SUM(J38:L38)*SUM(M38:O38)*SUM(P38:R38)*SUM(S38:U38)/4</f>
        <v>0</v>
      </c>
      <c r="W38" s="17">
        <f t="shared" ref="W38:W69" si="5">IFERROR(H38/V38,0)</f>
        <v>0</v>
      </c>
      <c r="X38" s="26"/>
      <c r="Y38" s="55"/>
      <c r="Z38" s="27"/>
      <c r="AB38" s="137"/>
      <c r="AE38" s="137"/>
    </row>
    <row r="39" spans="1:31" ht="25.5" customHeight="1">
      <c r="A39" s="171"/>
      <c r="B39" s="18" t="s">
        <v>144</v>
      </c>
      <c r="C39" s="19" t="s">
        <v>145</v>
      </c>
      <c r="D39" s="20" t="s">
        <v>146</v>
      </c>
      <c r="E39" s="20" t="s">
        <v>147</v>
      </c>
      <c r="F39" s="21">
        <v>4</v>
      </c>
      <c r="G39" s="21">
        <v>2</v>
      </c>
      <c r="H39" s="17">
        <f t="shared" si="3"/>
        <v>8</v>
      </c>
      <c r="I39" s="22"/>
      <c r="J39" s="23"/>
      <c r="K39" s="21"/>
      <c r="L39" s="24"/>
      <c r="M39" s="23"/>
      <c r="N39" s="21"/>
      <c r="O39" s="24"/>
      <c r="P39" s="23"/>
      <c r="Q39" s="21"/>
      <c r="R39" s="24"/>
      <c r="S39" s="23"/>
      <c r="T39" s="21"/>
      <c r="U39" s="24"/>
      <c r="V39" s="25">
        <f t="shared" si="4"/>
        <v>0</v>
      </c>
      <c r="W39" s="17">
        <f t="shared" si="5"/>
        <v>0</v>
      </c>
      <c r="X39" s="26"/>
      <c r="Y39" s="55"/>
      <c r="Z39" s="27"/>
      <c r="AB39" s="137"/>
      <c r="AE39" s="137"/>
    </row>
    <row r="40" spans="1:31" ht="33.75" customHeight="1">
      <c r="A40" s="37"/>
      <c r="B40" s="18"/>
      <c r="C40" s="19"/>
      <c r="D40" s="20"/>
      <c r="E40" s="20"/>
      <c r="F40" s="21"/>
      <c r="G40" s="21"/>
      <c r="H40" s="17">
        <f t="shared" si="3"/>
        <v>0</v>
      </c>
      <c r="I40" s="29"/>
      <c r="J40" s="23"/>
      <c r="K40" s="21"/>
      <c r="L40" s="24"/>
      <c r="M40" s="23"/>
      <c r="N40" s="21"/>
      <c r="O40" s="24"/>
      <c r="P40" s="23"/>
      <c r="Q40" s="21"/>
      <c r="R40" s="24"/>
      <c r="S40" s="23"/>
      <c r="T40" s="21"/>
      <c r="U40" s="24"/>
      <c r="V40" s="25">
        <f t="shared" si="4"/>
        <v>0</v>
      </c>
      <c r="W40" s="17">
        <f t="shared" si="5"/>
        <v>0</v>
      </c>
      <c r="X40" s="26"/>
      <c r="Y40" s="26"/>
      <c r="Z40" s="27"/>
      <c r="AB40" s="137"/>
      <c r="AE40" s="137"/>
    </row>
    <row r="41" spans="1:31" ht="33.75" customHeight="1">
      <c r="A41" s="37"/>
      <c r="B41" s="35"/>
      <c r="C41" s="19"/>
      <c r="D41" s="20"/>
      <c r="E41" s="20"/>
      <c r="F41" s="21"/>
      <c r="G41" s="21"/>
      <c r="H41" s="17">
        <f t="shared" si="3"/>
        <v>0</v>
      </c>
      <c r="I41" s="22"/>
      <c r="J41" s="23"/>
      <c r="K41" s="21"/>
      <c r="L41" s="24"/>
      <c r="M41" s="23"/>
      <c r="N41" s="21"/>
      <c r="O41" s="24"/>
      <c r="P41" s="23"/>
      <c r="Q41" s="21"/>
      <c r="R41" s="24"/>
      <c r="S41" s="23"/>
      <c r="T41" s="21"/>
      <c r="U41" s="24"/>
      <c r="V41" s="25">
        <f t="shared" si="4"/>
        <v>0</v>
      </c>
      <c r="W41" s="17">
        <f t="shared" si="5"/>
        <v>0</v>
      </c>
      <c r="X41" s="26"/>
      <c r="Y41" s="26"/>
      <c r="Z41" s="27"/>
      <c r="AB41" s="137"/>
      <c r="AE41" s="137"/>
    </row>
    <row r="42" spans="1:31" ht="33.75" customHeight="1">
      <c r="A42" s="37"/>
      <c r="B42" s="30"/>
      <c r="C42" s="19"/>
      <c r="D42" s="20"/>
      <c r="E42" s="20"/>
      <c r="F42" s="21"/>
      <c r="G42" s="21"/>
      <c r="H42" s="17">
        <f t="shared" si="3"/>
        <v>0</v>
      </c>
      <c r="I42" s="22"/>
      <c r="J42" s="23"/>
      <c r="K42" s="21"/>
      <c r="L42" s="24"/>
      <c r="M42" s="23"/>
      <c r="N42" s="21"/>
      <c r="O42" s="24"/>
      <c r="P42" s="23"/>
      <c r="Q42" s="21"/>
      <c r="R42" s="24"/>
      <c r="S42" s="23"/>
      <c r="T42" s="21"/>
      <c r="U42" s="24"/>
      <c r="V42" s="25">
        <f t="shared" si="4"/>
        <v>0</v>
      </c>
      <c r="W42" s="17">
        <f t="shared" si="5"/>
        <v>0</v>
      </c>
      <c r="X42" s="26"/>
      <c r="Y42" s="26"/>
      <c r="Z42" s="27"/>
      <c r="AB42" s="137"/>
      <c r="AE42" s="137"/>
    </row>
    <row r="43" spans="1:31" ht="33.75" customHeight="1">
      <c r="A43" s="37"/>
      <c r="B43" s="28"/>
      <c r="C43" s="19"/>
      <c r="D43" s="20"/>
      <c r="E43" s="20"/>
      <c r="F43" s="21"/>
      <c r="G43" s="21"/>
      <c r="H43" s="17">
        <f t="shared" si="3"/>
        <v>0</v>
      </c>
      <c r="I43" s="22"/>
      <c r="J43" s="23"/>
      <c r="K43" s="21"/>
      <c r="L43" s="24"/>
      <c r="M43" s="23"/>
      <c r="N43" s="21"/>
      <c r="O43" s="24"/>
      <c r="P43" s="23"/>
      <c r="Q43" s="21"/>
      <c r="R43" s="24"/>
      <c r="S43" s="23"/>
      <c r="T43" s="21"/>
      <c r="U43" s="24"/>
      <c r="V43" s="25">
        <f t="shared" si="4"/>
        <v>0</v>
      </c>
      <c r="W43" s="17">
        <f t="shared" si="5"/>
        <v>0</v>
      </c>
      <c r="X43" s="26"/>
      <c r="Y43" s="26"/>
      <c r="Z43" s="27"/>
      <c r="AB43" s="137"/>
      <c r="AE43" s="137"/>
    </row>
    <row r="44" spans="1:31" ht="33.75" customHeight="1">
      <c r="A44" s="37"/>
      <c r="B44" s="18"/>
      <c r="C44" s="19"/>
      <c r="D44" s="20"/>
      <c r="E44" s="20"/>
      <c r="F44" s="21"/>
      <c r="G44" s="21"/>
      <c r="H44" s="17">
        <f t="shared" si="3"/>
        <v>0</v>
      </c>
      <c r="I44" s="22"/>
      <c r="J44" s="23"/>
      <c r="K44" s="21"/>
      <c r="L44" s="24"/>
      <c r="M44" s="23"/>
      <c r="N44" s="21"/>
      <c r="O44" s="24"/>
      <c r="P44" s="23"/>
      <c r="Q44" s="21"/>
      <c r="R44" s="24"/>
      <c r="S44" s="23"/>
      <c r="T44" s="21"/>
      <c r="U44" s="24"/>
      <c r="V44" s="25">
        <f t="shared" si="4"/>
        <v>0</v>
      </c>
      <c r="W44" s="17">
        <f t="shared" si="5"/>
        <v>0</v>
      </c>
      <c r="X44" s="26"/>
      <c r="Y44" s="26"/>
      <c r="Z44" s="27"/>
      <c r="AB44" s="137"/>
      <c r="AE44" s="137"/>
    </row>
    <row r="45" spans="1:31" ht="33.75" customHeight="1">
      <c r="A45" s="37"/>
      <c r="B45" s="18"/>
      <c r="C45" s="19"/>
      <c r="D45" s="20"/>
      <c r="E45" s="20"/>
      <c r="F45" s="21"/>
      <c r="G45" s="21"/>
      <c r="H45" s="17">
        <f t="shared" si="3"/>
        <v>0</v>
      </c>
      <c r="I45" s="34"/>
      <c r="J45" s="23"/>
      <c r="K45" s="21"/>
      <c r="L45" s="24"/>
      <c r="M45" s="23"/>
      <c r="N45" s="21"/>
      <c r="O45" s="24"/>
      <c r="P45" s="23"/>
      <c r="Q45" s="21"/>
      <c r="R45" s="24"/>
      <c r="S45" s="23"/>
      <c r="T45" s="21"/>
      <c r="U45" s="24"/>
      <c r="V45" s="25">
        <f t="shared" si="4"/>
        <v>0</v>
      </c>
      <c r="W45" s="17">
        <f t="shared" si="5"/>
        <v>0</v>
      </c>
      <c r="X45" s="26"/>
      <c r="Y45" s="26"/>
      <c r="Z45" s="27"/>
      <c r="AB45" s="137"/>
      <c r="AE45" s="137"/>
    </row>
    <row r="46" spans="1:31" ht="33.75" customHeight="1">
      <c r="A46" s="37"/>
      <c r="B46" s="35"/>
      <c r="C46" s="19"/>
      <c r="D46" s="20"/>
      <c r="E46" s="20"/>
      <c r="F46" s="21"/>
      <c r="G46" s="21"/>
      <c r="H46" s="17">
        <f t="shared" si="3"/>
        <v>0</v>
      </c>
      <c r="I46" s="22"/>
      <c r="J46" s="23"/>
      <c r="K46" s="21"/>
      <c r="L46" s="24"/>
      <c r="M46" s="23"/>
      <c r="N46" s="21"/>
      <c r="O46" s="24"/>
      <c r="P46" s="23"/>
      <c r="Q46" s="21"/>
      <c r="R46" s="24"/>
      <c r="S46" s="23"/>
      <c r="T46" s="21"/>
      <c r="U46" s="24"/>
      <c r="V46" s="25">
        <f t="shared" si="4"/>
        <v>0</v>
      </c>
      <c r="W46" s="17">
        <f t="shared" si="5"/>
        <v>0</v>
      </c>
      <c r="X46" s="26"/>
      <c r="Y46" s="26"/>
      <c r="Z46" s="27"/>
      <c r="AB46" s="137"/>
      <c r="AE46" s="137"/>
    </row>
    <row r="47" spans="1:31" ht="33.75" customHeight="1">
      <c r="A47" s="37"/>
      <c r="B47" s="28"/>
      <c r="C47" s="19"/>
      <c r="D47" s="20"/>
      <c r="E47" s="20"/>
      <c r="F47" s="21"/>
      <c r="G47" s="21"/>
      <c r="H47" s="17">
        <f t="shared" si="3"/>
        <v>0</v>
      </c>
      <c r="I47" s="22"/>
      <c r="J47" s="23"/>
      <c r="K47" s="21"/>
      <c r="L47" s="24"/>
      <c r="M47" s="23"/>
      <c r="N47" s="21"/>
      <c r="O47" s="24"/>
      <c r="P47" s="23"/>
      <c r="Q47" s="21"/>
      <c r="R47" s="24"/>
      <c r="S47" s="23"/>
      <c r="T47" s="21"/>
      <c r="U47" s="24"/>
      <c r="V47" s="25">
        <f t="shared" si="4"/>
        <v>0</v>
      </c>
      <c r="W47" s="17">
        <f t="shared" si="5"/>
        <v>0</v>
      </c>
      <c r="X47" s="26"/>
      <c r="Y47" s="26"/>
      <c r="Z47" s="27"/>
      <c r="AB47" s="137"/>
      <c r="AE47" s="137"/>
    </row>
    <row r="48" spans="1:31" ht="33.75" customHeight="1">
      <c r="A48" s="37"/>
      <c r="B48" s="35"/>
      <c r="C48" s="19"/>
      <c r="D48" s="20"/>
      <c r="E48" s="20"/>
      <c r="F48" s="21"/>
      <c r="G48" s="21"/>
      <c r="H48" s="17">
        <f t="shared" si="3"/>
        <v>0</v>
      </c>
      <c r="I48" s="22"/>
      <c r="J48" s="23"/>
      <c r="K48" s="21"/>
      <c r="L48" s="24"/>
      <c r="M48" s="23"/>
      <c r="N48" s="21"/>
      <c r="O48" s="24"/>
      <c r="P48" s="23"/>
      <c r="Q48" s="21"/>
      <c r="R48" s="24"/>
      <c r="S48" s="23"/>
      <c r="T48" s="21"/>
      <c r="U48" s="24"/>
      <c r="V48" s="25">
        <f t="shared" si="4"/>
        <v>0</v>
      </c>
      <c r="W48" s="17">
        <f t="shared" si="5"/>
        <v>0</v>
      </c>
      <c r="X48" s="26"/>
      <c r="Y48" s="26"/>
      <c r="Z48" s="27"/>
      <c r="AB48" s="137"/>
      <c r="AE48" s="137"/>
    </row>
    <row r="49" spans="1:31" ht="33.75" customHeight="1">
      <c r="A49" s="37"/>
      <c r="B49" s="30"/>
      <c r="C49" s="19"/>
      <c r="D49" s="20"/>
      <c r="E49" s="20"/>
      <c r="F49" s="21"/>
      <c r="G49" s="21"/>
      <c r="H49" s="17">
        <f t="shared" si="3"/>
        <v>0</v>
      </c>
      <c r="I49" s="22"/>
      <c r="J49" s="23"/>
      <c r="K49" s="21"/>
      <c r="L49" s="24"/>
      <c r="M49" s="23"/>
      <c r="N49" s="21"/>
      <c r="O49" s="24"/>
      <c r="P49" s="23"/>
      <c r="Q49" s="21"/>
      <c r="R49" s="24"/>
      <c r="S49" s="23"/>
      <c r="T49" s="21"/>
      <c r="U49" s="24"/>
      <c r="V49" s="25">
        <f t="shared" si="4"/>
        <v>0</v>
      </c>
      <c r="W49" s="17">
        <f t="shared" si="5"/>
        <v>0</v>
      </c>
      <c r="X49" s="26"/>
      <c r="Y49" s="26"/>
      <c r="Z49" s="27"/>
      <c r="AB49" s="137"/>
      <c r="AE49" s="137"/>
    </row>
    <row r="50" spans="1:31" ht="33.75" customHeight="1">
      <c r="A50" s="37"/>
      <c r="B50" s="30"/>
      <c r="C50" s="19"/>
      <c r="D50" s="20"/>
      <c r="E50" s="20"/>
      <c r="F50" s="21"/>
      <c r="G50" s="21"/>
      <c r="H50" s="17">
        <f t="shared" si="3"/>
        <v>0</v>
      </c>
      <c r="I50" s="33"/>
      <c r="J50" s="23"/>
      <c r="K50" s="21"/>
      <c r="L50" s="24"/>
      <c r="M50" s="23"/>
      <c r="N50" s="21"/>
      <c r="O50" s="24"/>
      <c r="P50" s="23"/>
      <c r="Q50" s="21"/>
      <c r="R50" s="24"/>
      <c r="S50" s="23"/>
      <c r="T50" s="21"/>
      <c r="U50" s="24"/>
      <c r="V50" s="25">
        <f t="shared" si="4"/>
        <v>0</v>
      </c>
      <c r="W50" s="17">
        <f t="shared" si="5"/>
        <v>0</v>
      </c>
      <c r="X50" s="26"/>
      <c r="Y50" s="26"/>
      <c r="Z50" s="27"/>
      <c r="AB50" s="137"/>
      <c r="AE50" s="137"/>
    </row>
    <row r="51" spans="1:31" ht="33.75" customHeight="1">
      <c r="A51" s="37"/>
      <c r="B51" s="30"/>
      <c r="C51" s="19"/>
      <c r="D51" s="20"/>
      <c r="E51" s="20"/>
      <c r="F51" s="21"/>
      <c r="G51" s="21"/>
      <c r="H51" s="17">
        <f t="shared" si="3"/>
        <v>0</v>
      </c>
      <c r="I51" s="26"/>
      <c r="J51" s="23"/>
      <c r="K51" s="21"/>
      <c r="L51" s="24"/>
      <c r="M51" s="23"/>
      <c r="N51" s="21"/>
      <c r="O51" s="24"/>
      <c r="P51" s="23"/>
      <c r="Q51" s="21"/>
      <c r="R51" s="24"/>
      <c r="S51" s="23"/>
      <c r="T51" s="21"/>
      <c r="U51" s="24"/>
      <c r="V51" s="25">
        <f t="shared" si="4"/>
        <v>0</v>
      </c>
      <c r="W51" s="17">
        <f t="shared" si="5"/>
        <v>0</v>
      </c>
      <c r="X51" s="26"/>
      <c r="Y51" s="26"/>
      <c r="Z51" s="27"/>
      <c r="AB51" s="137"/>
      <c r="AE51" s="137"/>
    </row>
    <row r="52" spans="1:31" ht="33.75" customHeight="1">
      <c r="A52" s="37"/>
      <c r="B52" s="28"/>
      <c r="C52" s="19"/>
      <c r="D52" s="20"/>
      <c r="E52" s="20"/>
      <c r="F52" s="21"/>
      <c r="G52" s="21"/>
      <c r="H52" s="17">
        <f t="shared" si="3"/>
        <v>0</v>
      </c>
      <c r="I52" s="22"/>
      <c r="J52" s="23"/>
      <c r="K52" s="21"/>
      <c r="L52" s="24"/>
      <c r="M52" s="23"/>
      <c r="N52" s="21"/>
      <c r="O52" s="24"/>
      <c r="P52" s="23"/>
      <c r="Q52" s="21"/>
      <c r="R52" s="24"/>
      <c r="S52" s="23"/>
      <c r="T52" s="21"/>
      <c r="U52" s="24"/>
      <c r="V52" s="25">
        <f t="shared" si="4"/>
        <v>0</v>
      </c>
      <c r="W52" s="17">
        <f t="shared" si="5"/>
        <v>0</v>
      </c>
      <c r="X52" s="26"/>
      <c r="Y52" s="26"/>
      <c r="Z52" s="27"/>
      <c r="AB52" s="137"/>
      <c r="AE52" s="137"/>
    </row>
    <row r="53" spans="1:31" ht="33.75" customHeight="1">
      <c r="A53" s="37"/>
      <c r="B53" s="18"/>
      <c r="C53" s="19"/>
      <c r="D53" s="20"/>
      <c r="E53" s="20"/>
      <c r="F53" s="21"/>
      <c r="G53" s="21"/>
      <c r="H53" s="17">
        <f t="shared" si="3"/>
        <v>0</v>
      </c>
      <c r="I53" s="22"/>
      <c r="J53" s="23"/>
      <c r="K53" s="21"/>
      <c r="L53" s="24"/>
      <c r="M53" s="23"/>
      <c r="N53" s="21"/>
      <c r="O53" s="24"/>
      <c r="P53" s="23"/>
      <c r="Q53" s="21"/>
      <c r="R53" s="24"/>
      <c r="S53" s="23"/>
      <c r="T53" s="21"/>
      <c r="U53" s="24"/>
      <c r="V53" s="25">
        <f t="shared" si="4"/>
        <v>0</v>
      </c>
      <c r="W53" s="17">
        <f t="shared" si="5"/>
        <v>0</v>
      </c>
      <c r="X53" s="26"/>
      <c r="Y53" s="26"/>
      <c r="Z53" s="27"/>
      <c r="AB53" s="137"/>
      <c r="AE53" s="137"/>
    </row>
    <row r="54" spans="1:31" ht="33.75" customHeight="1">
      <c r="A54" s="37"/>
      <c r="B54" s="18"/>
      <c r="C54" s="19"/>
      <c r="D54" s="20"/>
      <c r="E54" s="20"/>
      <c r="F54" s="21"/>
      <c r="G54" s="21"/>
      <c r="H54" s="17">
        <f t="shared" si="3"/>
        <v>0</v>
      </c>
      <c r="I54" s="22"/>
      <c r="J54" s="23"/>
      <c r="K54" s="21"/>
      <c r="L54" s="24"/>
      <c r="M54" s="23"/>
      <c r="N54" s="21"/>
      <c r="O54" s="24"/>
      <c r="P54" s="23"/>
      <c r="Q54" s="21"/>
      <c r="R54" s="24"/>
      <c r="S54" s="23"/>
      <c r="T54" s="21"/>
      <c r="U54" s="24"/>
      <c r="V54" s="25">
        <f t="shared" si="4"/>
        <v>0</v>
      </c>
      <c r="W54" s="17">
        <f t="shared" si="5"/>
        <v>0</v>
      </c>
      <c r="X54" s="26"/>
      <c r="Y54" s="26"/>
      <c r="Z54" s="27"/>
      <c r="AB54" s="137"/>
      <c r="AE54" s="137"/>
    </row>
    <row r="55" spans="1:31" ht="33.75" customHeight="1">
      <c r="A55" s="37"/>
      <c r="B55" s="35"/>
      <c r="C55" s="19"/>
      <c r="D55" s="20"/>
      <c r="E55" s="20"/>
      <c r="F55" s="21"/>
      <c r="G55" s="21"/>
      <c r="H55" s="17">
        <f t="shared" si="3"/>
        <v>0</v>
      </c>
      <c r="I55" s="38"/>
      <c r="J55" s="23"/>
      <c r="K55" s="21"/>
      <c r="L55" s="24"/>
      <c r="M55" s="23"/>
      <c r="N55" s="21"/>
      <c r="O55" s="24"/>
      <c r="P55" s="23"/>
      <c r="Q55" s="21"/>
      <c r="R55" s="24"/>
      <c r="S55" s="23"/>
      <c r="T55" s="21"/>
      <c r="U55" s="24"/>
      <c r="V55" s="25">
        <f t="shared" si="4"/>
        <v>0</v>
      </c>
      <c r="W55" s="17">
        <f t="shared" si="5"/>
        <v>0</v>
      </c>
      <c r="X55" s="26"/>
      <c r="Y55" s="26"/>
      <c r="Z55" s="27"/>
      <c r="AB55" s="137"/>
      <c r="AE55" s="137"/>
    </row>
    <row r="56" spans="1:31" ht="33.75" customHeight="1">
      <c r="A56" s="37"/>
      <c r="B56" s="30"/>
      <c r="C56" s="19"/>
      <c r="D56" s="20"/>
      <c r="E56" s="20"/>
      <c r="F56" s="21"/>
      <c r="G56" s="21"/>
      <c r="H56" s="17">
        <f t="shared" si="3"/>
        <v>0</v>
      </c>
      <c r="I56" s="39"/>
      <c r="J56" s="23"/>
      <c r="K56" s="21"/>
      <c r="L56" s="24"/>
      <c r="M56" s="23"/>
      <c r="N56" s="21"/>
      <c r="O56" s="24"/>
      <c r="P56" s="23"/>
      <c r="Q56" s="21"/>
      <c r="R56" s="24"/>
      <c r="S56" s="23"/>
      <c r="T56" s="21"/>
      <c r="U56" s="24"/>
      <c r="V56" s="25">
        <f t="shared" si="4"/>
        <v>0</v>
      </c>
      <c r="W56" s="17">
        <f t="shared" si="5"/>
        <v>0</v>
      </c>
      <c r="X56" s="26"/>
      <c r="Y56" s="26"/>
      <c r="Z56" s="27"/>
      <c r="AB56" s="137"/>
      <c r="AE56" s="137"/>
    </row>
    <row r="57" spans="1:31" ht="33.75" customHeight="1">
      <c r="A57" s="37"/>
      <c r="B57" s="30"/>
      <c r="C57" s="19"/>
      <c r="D57" s="20"/>
      <c r="E57" s="20"/>
      <c r="F57" s="21"/>
      <c r="G57" s="21"/>
      <c r="H57" s="17">
        <f t="shared" si="3"/>
        <v>0</v>
      </c>
      <c r="I57" s="39"/>
      <c r="J57" s="23"/>
      <c r="K57" s="21"/>
      <c r="L57" s="24"/>
      <c r="M57" s="23"/>
      <c r="N57" s="21"/>
      <c r="O57" s="24"/>
      <c r="P57" s="23"/>
      <c r="Q57" s="21"/>
      <c r="R57" s="24"/>
      <c r="S57" s="23"/>
      <c r="T57" s="21"/>
      <c r="U57" s="24"/>
      <c r="V57" s="25">
        <f t="shared" si="4"/>
        <v>0</v>
      </c>
      <c r="W57" s="17">
        <f t="shared" si="5"/>
        <v>0</v>
      </c>
      <c r="X57" s="26"/>
      <c r="Y57" s="26"/>
      <c r="Z57" s="27"/>
      <c r="AB57" s="137"/>
      <c r="AE57" s="137"/>
    </row>
    <row r="58" spans="1:31" ht="33.75" customHeight="1">
      <c r="A58" s="37"/>
      <c r="B58" s="28"/>
      <c r="C58" s="19"/>
      <c r="D58" s="20"/>
      <c r="E58" s="20"/>
      <c r="F58" s="21"/>
      <c r="G58" s="21"/>
      <c r="H58" s="17">
        <f t="shared" si="3"/>
        <v>0</v>
      </c>
      <c r="I58" s="40"/>
      <c r="J58" s="23"/>
      <c r="K58" s="21"/>
      <c r="L58" s="24"/>
      <c r="M58" s="23"/>
      <c r="N58" s="21"/>
      <c r="O58" s="24"/>
      <c r="P58" s="23"/>
      <c r="Q58" s="21"/>
      <c r="R58" s="24"/>
      <c r="S58" s="23"/>
      <c r="T58" s="21"/>
      <c r="U58" s="24"/>
      <c r="V58" s="25">
        <f t="shared" si="4"/>
        <v>0</v>
      </c>
      <c r="W58" s="17">
        <f t="shared" si="5"/>
        <v>0</v>
      </c>
      <c r="X58" s="26"/>
      <c r="Y58" s="26"/>
      <c r="Z58" s="27"/>
      <c r="AB58" s="137"/>
      <c r="AE58" s="137"/>
    </row>
    <row r="59" spans="1:31" ht="33.75" customHeight="1">
      <c r="A59" s="37"/>
      <c r="B59" s="30"/>
      <c r="C59" s="19"/>
      <c r="D59" s="20"/>
      <c r="E59" s="20"/>
      <c r="F59" s="21"/>
      <c r="G59" s="21"/>
      <c r="H59" s="17">
        <f t="shared" si="3"/>
        <v>0</v>
      </c>
      <c r="I59" s="26"/>
      <c r="J59" s="23"/>
      <c r="K59" s="21"/>
      <c r="L59" s="24"/>
      <c r="M59" s="23"/>
      <c r="N59" s="21"/>
      <c r="O59" s="24"/>
      <c r="P59" s="23"/>
      <c r="Q59" s="21"/>
      <c r="R59" s="24"/>
      <c r="S59" s="23"/>
      <c r="T59" s="21"/>
      <c r="U59" s="24"/>
      <c r="V59" s="25">
        <f t="shared" si="4"/>
        <v>0</v>
      </c>
      <c r="W59" s="17">
        <f t="shared" si="5"/>
        <v>0</v>
      </c>
      <c r="X59" s="26"/>
      <c r="Y59" s="26"/>
      <c r="Z59" s="27"/>
      <c r="AB59" s="137"/>
      <c r="AE59" s="137"/>
    </row>
    <row r="60" spans="1:31" ht="33.75" customHeight="1">
      <c r="A60" s="37"/>
      <c r="B60" s="28"/>
      <c r="C60" s="19"/>
      <c r="D60" s="20"/>
      <c r="E60" s="20"/>
      <c r="F60" s="21"/>
      <c r="G60" s="21"/>
      <c r="H60" s="17">
        <f t="shared" si="3"/>
        <v>0</v>
      </c>
      <c r="I60" s="26"/>
      <c r="J60" s="23"/>
      <c r="K60" s="21"/>
      <c r="L60" s="24"/>
      <c r="M60" s="23"/>
      <c r="N60" s="21"/>
      <c r="O60" s="24"/>
      <c r="P60" s="23"/>
      <c r="Q60" s="21"/>
      <c r="R60" s="24"/>
      <c r="S60" s="23"/>
      <c r="T60" s="21"/>
      <c r="U60" s="24"/>
      <c r="V60" s="25">
        <f t="shared" si="4"/>
        <v>0</v>
      </c>
      <c r="W60" s="17">
        <f t="shared" si="5"/>
        <v>0</v>
      </c>
      <c r="X60" s="26"/>
      <c r="Y60" s="26"/>
      <c r="Z60" s="27"/>
      <c r="AB60" s="137"/>
      <c r="AE60" s="137"/>
    </row>
    <row r="61" spans="1:31" ht="33.75" customHeight="1">
      <c r="A61" s="37"/>
      <c r="B61" s="18"/>
      <c r="C61" s="19"/>
      <c r="D61" s="20"/>
      <c r="E61" s="20"/>
      <c r="F61" s="21"/>
      <c r="G61" s="21"/>
      <c r="H61" s="17">
        <f t="shared" si="3"/>
        <v>0</v>
      </c>
      <c r="I61" s="29"/>
      <c r="J61" s="23"/>
      <c r="K61" s="21"/>
      <c r="L61" s="24"/>
      <c r="M61" s="23"/>
      <c r="N61" s="21"/>
      <c r="O61" s="24"/>
      <c r="P61" s="23"/>
      <c r="Q61" s="21"/>
      <c r="R61" s="24"/>
      <c r="S61" s="23"/>
      <c r="T61" s="21"/>
      <c r="U61" s="24"/>
      <c r="V61" s="25">
        <f t="shared" si="4"/>
        <v>0</v>
      </c>
      <c r="W61" s="17">
        <f t="shared" si="5"/>
        <v>0</v>
      </c>
      <c r="X61" s="26"/>
      <c r="Y61" s="26"/>
      <c r="Z61" s="27"/>
      <c r="AB61" s="137"/>
      <c r="AE61" s="137"/>
    </row>
    <row r="62" spans="1:31" ht="33.75" customHeight="1">
      <c r="A62" s="37"/>
      <c r="B62" s="35"/>
      <c r="C62" s="19"/>
      <c r="D62" s="20"/>
      <c r="E62" s="20"/>
      <c r="F62" s="21"/>
      <c r="G62" s="21"/>
      <c r="H62" s="17">
        <f t="shared" si="3"/>
        <v>0</v>
      </c>
      <c r="I62" s="22"/>
      <c r="J62" s="23"/>
      <c r="K62" s="21"/>
      <c r="L62" s="24"/>
      <c r="M62" s="23"/>
      <c r="N62" s="21"/>
      <c r="O62" s="24"/>
      <c r="P62" s="23"/>
      <c r="Q62" s="21"/>
      <c r="R62" s="24"/>
      <c r="S62" s="23"/>
      <c r="T62" s="21"/>
      <c r="U62" s="24"/>
      <c r="V62" s="25">
        <f t="shared" si="4"/>
        <v>0</v>
      </c>
      <c r="W62" s="17">
        <f t="shared" si="5"/>
        <v>0</v>
      </c>
      <c r="X62" s="26"/>
      <c r="Y62" s="26"/>
      <c r="Z62" s="27"/>
      <c r="AB62" s="137"/>
      <c r="AE62" s="137"/>
    </row>
    <row r="63" spans="1:31" ht="33.75" customHeight="1">
      <c r="A63" s="37"/>
      <c r="B63" s="30"/>
      <c r="C63" s="19"/>
      <c r="D63" s="20"/>
      <c r="E63" s="20"/>
      <c r="F63" s="21"/>
      <c r="G63" s="21"/>
      <c r="H63" s="17">
        <f t="shared" si="3"/>
        <v>0</v>
      </c>
      <c r="I63" s="22"/>
      <c r="J63" s="23"/>
      <c r="K63" s="21"/>
      <c r="L63" s="24"/>
      <c r="M63" s="23"/>
      <c r="N63" s="21"/>
      <c r="O63" s="24"/>
      <c r="P63" s="23"/>
      <c r="Q63" s="21"/>
      <c r="R63" s="24"/>
      <c r="S63" s="23"/>
      <c r="T63" s="21"/>
      <c r="U63" s="24"/>
      <c r="V63" s="25">
        <f t="shared" si="4"/>
        <v>0</v>
      </c>
      <c r="W63" s="17">
        <f t="shared" si="5"/>
        <v>0</v>
      </c>
      <c r="X63" s="26"/>
      <c r="Y63" s="26"/>
      <c r="Z63" s="27"/>
      <c r="AB63" s="137"/>
      <c r="AE63" s="137"/>
    </row>
    <row r="64" spans="1:31" ht="33.75" customHeight="1">
      <c r="A64" s="37"/>
      <c r="B64" s="28"/>
      <c r="C64" s="19"/>
      <c r="D64" s="20"/>
      <c r="E64" s="20"/>
      <c r="F64" s="21"/>
      <c r="G64" s="21"/>
      <c r="H64" s="17">
        <f t="shared" si="3"/>
        <v>0</v>
      </c>
      <c r="I64" s="22"/>
      <c r="J64" s="23"/>
      <c r="K64" s="21"/>
      <c r="L64" s="24"/>
      <c r="M64" s="23"/>
      <c r="N64" s="21"/>
      <c r="O64" s="24"/>
      <c r="P64" s="23"/>
      <c r="Q64" s="21"/>
      <c r="R64" s="24"/>
      <c r="S64" s="23"/>
      <c r="T64" s="21"/>
      <c r="U64" s="24"/>
      <c r="V64" s="25">
        <f t="shared" si="4"/>
        <v>0</v>
      </c>
      <c r="W64" s="17">
        <f t="shared" si="5"/>
        <v>0</v>
      </c>
      <c r="X64" s="26"/>
      <c r="Y64" s="26"/>
      <c r="Z64" s="27"/>
      <c r="AB64" s="137"/>
      <c r="AE64" s="137"/>
    </row>
    <row r="65" spans="1:31" ht="33.75" customHeight="1">
      <c r="A65" s="37"/>
      <c r="B65" s="18"/>
      <c r="C65" s="19"/>
      <c r="D65" s="20"/>
      <c r="E65" s="20"/>
      <c r="F65" s="21"/>
      <c r="G65" s="21"/>
      <c r="H65" s="17">
        <f t="shared" si="3"/>
        <v>0</v>
      </c>
      <c r="I65" s="22"/>
      <c r="J65" s="23"/>
      <c r="K65" s="21"/>
      <c r="L65" s="24"/>
      <c r="M65" s="23"/>
      <c r="N65" s="21"/>
      <c r="O65" s="24"/>
      <c r="P65" s="23"/>
      <c r="Q65" s="21"/>
      <c r="R65" s="24"/>
      <c r="S65" s="23"/>
      <c r="T65" s="21"/>
      <c r="U65" s="24"/>
      <c r="V65" s="25">
        <f t="shared" si="4"/>
        <v>0</v>
      </c>
      <c r="W65" s="17">
        <f t="shared" si="5"/>
        <v>0</v>
      </c>
      <c r="X65" s="26"/>
      <c r="Y65" s="26"/>
      <c r="Z65" s="27"/>
      <c r="AB65" s="137"/>
      <c r="AE65" s="137"/>
    </row>
    <row r="66" spans="1:31" ht="33.75" customHeight="1">
      <c r="A66" s="37"/>
      <c r="B66" s="35"/>
      <c r="C66" s="19"/>
      <c r="D66" s="20"/>
      <c r="E66" s="20"/>
      <c r="F66" s="21"/>
      <c r="G66" s="21"/>
      <c r="H66" s="17">
        <f t="shared" si="3"/>
        <v>0</v>
      </c>
      <c r="I66" s="22"/>
      <c r="J66" s="23"/>
      <c r="K66" s="21"/>
      <c r="L66" s="24"/>
      <c r="M66" s="23"/>
      <c r="N66" s="21"/>
      <c r="O66" s="24"/>
      <c r="P66" s="23"/>
      <c r="Q66" s="21"/>
      <c r="R66" s="24"/>
      <c r="S66" s="23"/>
      <c r="T66" s="21"/>
      <c r="U66" s="24"/>
      <c r="V66" s="25">
        <f t="shared" si="4"/>
        <v>0</v>
      </c>
      <c r="W66" s="17">
        <f t="shared" si="5"/>
        <v>0</v>
      </c>
      <c r="X66" s="26"/>
      <c r="Y66" s="26"/>
      <c r="Z66" s="27"/>
      <c r="AB66" s="137"/>
      <c r="AE66" s="137"/>
    </row>
    <row r="67" spans="1:31" ht="33.75" customHeight="1">
      <c r="A67" s="37"/>
      <c r="B67" s="28"/>
      <c r="C67" s="19"/>
      <c r="D67" s="20"/>
      <c r="E67" s="20"/>
      <c r="F67" s="21"/>
      <c r="G67" s="21"/>
      <c r="H67" s="17">
        <f t="shared" si="3"/>
        <v>0</v>
      </c>
      <c r="I67" s="22"/>
      <c r="J67" s="23"/>
      <c r="K67" s="21"/>
      <c r="L67" s="24"/>
      <c r="M67" s="23"/>
      <c r="N67" s="21"/>
      <c r="O67" s="24"/>
      <c r="P67" s="23"/>
      <c r="Q67" s="21"/>
      <c r="R67" s="24"/>
      <c r="S67" s="23"/>
      <c r="T67" s="21"/>
      <c r="U67" s="24"/>
      <c r="V67" s="25">
        <f t="shared" si="4"/>
        <v>0</v>
      </c>
      <c r="W67" s="17">
        <f t="shared" si="5"/>
        <v>0</v>
      </c>
      <c r="X67" s="26"/>
      <c r="Y67" s="26"/>
      <c r="Z67" s="27"/>
      <c r="AB67" s="137"/>
      <c r="AE67" s="137"/>
    </row>
    <row r="68" spans="1:31" ht="33.75" customHeight="1">
      <c r="A68" s="37"/>
      <c r="B68" s="35"/>
      <c r="C68" s="19"/>
      <c r="D68" s="20"/>
      <c r="E68" s="20"/>
      <c r="F68" s="21"/>
      <c r="G68" s="21"/>
      <c r="H68" s="17">
        <f t="shared" si="3"/>
        <v>0</v>
      </c>
      <c r="I68" s="22"/>
      <c r="J68" s="23"/>
      <c r="K68" s="21"/>
      <c r="L68" s="24"/>
      <c r="M68" s="23"/>
      <c r="N68" s="21"/>
      <c r="O68" s="24"/>
      <c r="P68" s="23"/>
      <c r="Q68" s="21"/>
      <c r="R68" s="24"/>
      <c r="S68" s="23"/>
      <c r="T68" s="21"/>
      <c r="U68" s="24"/>
      <c r="V68" s="25">
        <f t="shared" si="4"/>
        <v>0</v>
      </c>
      <c r="W68" s="17">
        <f t="shared" si="5"/>
        <v>0</v>
      </c>
      <c r="X68" s="26"/>
      <c r="Y68" s="26"/>
      <c r="Z68" s="27"/>
      <c r="AB68" s="137"/>
      <c r="AE68" s="137"/>
    </row>
    <row r="69" spans="1:31" ht="33.75" customHeight="1">
      <c r="A69" s="37"/>
      <c r="B69" s="30"/>
      <c r="C69" s="19"/>
      <c r="D69" s="20"/>
      <c r="E69" s="20"/>
      <c r="F69" s="21"/>
      <c r="G69" s="21"/>
      <c r="H69" s="17">
        <f t="shared" si="3"/>
        <v>0</v>
      </c>
      <c r="I69" s="22"/>
      <c r="J69" s="23"/>
      <c r="K69" s="21"/>
      <c r="L69" s="24"/>
      <c r="M69" s="23"/>
      <c r="N69" s="21"/>
      <c r="O69" s="24"/>
      <c r="P69" s="23"/>
      <c r="Q69" s="21"/>
      <c r="R69" s="24"/>
      <c r="S69" s="23"/>
      <c r="T69" s="21"/>
      <c r="U69" s="24"/>
      <c r="V69" s="25">
        <f t="shared" si="4"/>
        <v>0</v>
      </c>
      <c r="W69" s="17">
        <f t="shared" si="5"/>
        <v>0</v>
      </c>
      <c r="X69" s="26"/>
      <c r="Y69" s="26"/>
      <c r="Z69" s="27"/>
      <c r="AB69" s="137"/>
      <c r="AE69" s="137"/>
    </row>
    <row r="70" spans="1:31" ht="33.75" customHeight="1">
      <c r="A70" s="37"/>
      <c r="B70" s="18"/>
      <c r="C70" s="19"/>
      <c r="D70" s="20"/>
      <c r="E70" s="20"/>
      <c r="F70" s="21"/>
      <c r="G70" s="21"/>
      <c r="H70" s="17">
        <f t="shared" ref="H70:H101" si="6">F70*G70</f>
        <v>0</v>
      </c>
      <c r="I70" s="22"/>
      <c r="J70" s="23"/>
      <c r="K70" s="21"/>
      <c r="L70" s="24"/>
      <c r="M70" s="23"/>
      <c r="N70" s="21"/>
      <c r="O70" s="24"/>
      <c r="P70" s="23"/>
      <c r="Q70" s="21"/>
      <c r="R70" s="24"/>
      <c r="S70" s="23"/>
      <c r="T70" s="21"/>
      <c r="U70" s="24"/>
      <c r="V70" s="25">
        <f t="shared" ref="V70:V101" si="7">SUM(J70:L70)*SUM(M70:O70)*SUM(P70:R70)*SUM(S70:U70)/4</f>
        <v>0</v>
      </c>
      <c r="W70" s="17">
        <f t="shared" ref="W70:W101" si="8">IFERROR(H70/V70,0)</f>
        <v>0</v>
      </c>
      <c r="X70" s="26"/>
      <c r="Y70" s="26"/>
      <c r="Z70" s="27"/>
      <c r="AB70" s="137"/>
      <c r="AE70" s="137"/>
    </row>
    <row r="71" spans="1:31" ht="33.75" customHeight="1">
      <c r="A71" s="37"/>
      <c r="B71" s="30"/>
      <c r="C71" s="19"/>
      <c r="D71" s="20"/>
      <c r="E71" s="20"/>
      <c r="F71" s="21"/>
      <c r="G71" s="21"/>
      <c r="H71" s="17">
        <f t="shared" si="6"/>
        <v>0</v>
      </c>
      <c r="I71" s="26"/>
      <c r="J71" s="23"/>
      <c r="K71" s="21"/>
      <c r="L71" s="24"/>
      <c r="M71" s="23"/>
      <c r="N71" s="21"/>
      <c r="O71" s="24"/>
      <c r="P71" s="23"/>
      <c r="Q71" s="21"/>
      <c r="R71" s="24"/>
      <c r="S71" s="23"/>
      <c r="T71" s="21"/>
      <c r="U71" s="24"/>
      <c r="V71" s="25">
        <f t="shared" si="7"/>
        <v>0</v>
      </c>
      <c r="W71" s="17">
        <f t="shared" si="8"/>
        <v>0</v>
      </c>
      <c r="X71" s="26"/>
      <c r="Y71" s="26"/>
      <c r="Z71" s="27"/>
      <c r="AB71" s="137"/>
      <c r="AE71" s="137"/>
    </row>
    <row r="72" spans="1:31" ht="33.75" customHeight="1">
      <c r="A72" s="37"/>
      <c r="B72" s="28"/>
      <c r="C72" s="19"/>
      <c r="D72" s="20"/>
      <c r="E72" s="20"/>
      <c r="F72" s="21"/>
      <c r="G72" s="21"/>
      <c r="H72" s="17">
        <f t="shared" si="6"/>
        <v>0</v>
      </c>
      <c r="I72" s="26"/>
      <c r="J72" s="23"/>
      <c r="K72" s="21"/>
      <c r="L72" s="24"/>
      <c r="M72" s="23"/>
      <c r="N72" s="21"/>
      <c r="O72" s="24"/>
      <c r="P72" s="23"/>
      <c r="Q72" s="21"/>
      <c r="R72" s="24"/>
      <c r="S72" s="23"/>
      <c r="T72" s="21"/>
      <c r="U72" s="24"/>
      <c r="V72" s="25">
        <f t="shared" si="7"/>
        <v>0</v>
      </c>
      <c r="W72" s="17">
        <f t="shared" si="8"/>
        <v>0</v>
      </c>
      <c r="X72" s="26"/>
      <c r="Y72" s="26"/>
      <c r="Z72" s="27"/>
      <c r="AB72" s="137"/>
      <c r="AE72" s="137"/>
    </row>
    <row r="73" spans="1:31" ht="33.75" customHeight="1">
      <c r="A73" s="37"/>
      <c r="B73" s="18"/>
      <c r="C73" s="19"/>
      <c r="D73" s="20"/>
      <c r="E73" s="20"/>
      <c r="F73" s="21"/>
      <c r="G73" s="21"/>
      <c r="H73" s="17">
        <f t="shared" si="6"/>
        <v>0</v>
      </c>
      <c r="I73" s="29"/>
      <c r="J73" s="23"/>
      <c r="K73" s="21"/>
      <c r="L73" s="24"/>
      <c r="M73" s="23"/>
      <c r="N73" s="21"/>
      <c r="O73" s="24"/>
      <c r="P73" s="23"/>
      <c r="Q73" s="21"/>
      <c r="R73" s="24"/>
      <c r="S73" s="23"/>
      <c r="T73" s="21"/>
      <c r="U73" s="24"/>
      <c r="V73" s="25">
        <f t="shared" si="7"/>
        <v>0</v>
      </c>
      <c r="W73" s="17">
        <f t="shared" si="8"/>
        <v>0</v>
      </c>
      <c r="X73" s="26"/>
      <c r="Y73" s="26"/>
      <c r="Z73" s="27"/>
      <c r="AB73" s="137"/>
      <c r="AE73" s="137"/>
    </row>
    <row r="74" spans="1:31" ht="33.75" customHeight="1">
      <c r="A74" s="37"/>
      <c r="B74" s="35"/>
      <c r="C74" s="19"/>
      <c r="D74" s="20"/>
      <c r="E74" s="20"/>
      <c r="F74" s="21"/>
      <c r="G74" s="21"/>
      <c r="H74" s="17">
        <f t="shared" si="6"/>
        <v>0</v>
      </c>
      <c r="I74" s="22"/>
      <c r="J74" s="23"/>
      <c r="K74" s="21"/>
      <c r="L74" s="24"/>
      <c r="M74" s="23"/>
      <c r="N74" s="21"/>
      <c r="O74" s="24"/>
      <c r="P74" s="23"/>
      <c r="Q74" s="21"/>
      <c r="R74" s="24"/>
      <c r="S74" s="23"/>
      <c r="T74" s="21"/>
      <c r="U74" s="24"/>
      <c r="V74" s="25">
        <f t="shared" si="7"/>
        <v>0</v>
      </c>
      <c r="W74" s="17">
        <f t="shared" si="8"/>
        <v>0</v>
      </c>
      <c r="X74" s="26"/>
      <c r="Y74" s="26"/>
      <c r="Z74" s="27"/>
      <c r="AB74" s="137"/>
      <c r="AE74" s="137"/>
    </row>
    <row r="75" spans="1:31" ht="33.75" customHeight="1">
      <c r="A75" s="37"/>
      <c r="B75" s="30"/>
      <c r="C75" s="19"/>
      <c r="D75" s="20"/>
      <c r="E75" s="20"/>
      <c r="F75" s="21"/>
      <c r="G75" s="21"/>
      <c r="H75" s="17">
        <f t="shared" si="6"/>
        <v>0</v>
      </c>
      <c r="I75" s="22"/>
      <c r="J75" s="23"/>
      <c r="K75" s="21"/>
      <c r="L75" s="24"/>
      <c r="M75" s="23"/>
      <c r="N75" s="21"/>
      <c r="O75" s="24"/>
      <c r="P75" s="23"/>
      <c r="Q75" s="21"/>
      <c r="R75" s="24"/>
      <c r="S75" s="23"/>
      <c r="T75" s="21"/>
      <c r="U75" s="24"/>
      <c r="V75" s="25">
        <f t="shared" si="7"/>
        <v>0</v>
      </c>
      <c r="W75" s="17">
        <f t="shared" si="8"/>
        <v>0</v>
      </c>
      <c r="X75" s="26"/>
      <c r="Y75" s="26"/>
      <c r="Z75" s="27"/>
      <c r="AB75" s="137"/>
      <c r="AE75" s="137"/>
    </row>
    <row r="76" spans="1:31" ht="33.75" customHeight="1">
      <c r="A76" s="37"/>
      <c r="B76" s="28"/>
      <c r="C76" s="19"/>
      <c r="D76" s="20"/>
      <c r="E76" s="20"/>
      <c r="F76" s="21"/>
      <c r="G76" s="21"/>
      <c r="H76" s="17">
        <f t="shared" si="6"/>
        <v>0</v>
      </c>
      <c r="I76" s="22"/>
      <c r="J76" s="23"/>
      <c r="K76" s="21"/>
      <c r="L76" s="24"/>
      <c r="M76" s="23"/>
      <c r="N76" s="21"/>
      <c r="O76" s="24"/>
      <c r="P76" s="23"/>
      <c r="Q76" s="21"/>
      <c r="R76" s="24"/>
      <c r="S76" s="23"/>
      <c r="T76" s="21"/>
      <c r="U76" s="24"/>
      <c r="V76" s="25">
        <f t="shared" si="7"/>
        <v>0</v>
      </c>
      <c r="W76" s="17">
        <f t="shared" si="8"/>
        <v>0</v>
      </c>
      <c r="X76" s="26"/>
      <c r="Y76" s="26"/>
      <c r="Z76" s="27"/>
      <c r="AB76" s="137"/>
      <c r="AE76" s="137"/>
    </row>
    <row r="77" spans="1:31" ht="33.75" customHeight="1">
      <c r="A77" s="37"/>
      <c r="B77" s="18"/>
      <c r="C77" s="19"/>
      <c r="D77" s="20"/>
      <c r="E77" s="20"/>
      <c r="F77" s="21"/>
      <c r="G77" s="21"/>
      <c r="H77" s="17">
        <f t="shared" si="6"/>
        <v>0</v>
      </c>
      <c r="I77" s="22"/>
      <c r="J77" s="23"/>
      <c r="K77" s="21"/>
      <c r="L77" s="24"/>
      <c r="M77" s="23"/>
      <c r="N77" s="21"/>
      <c r="O77" s="24"/>
      <c r="P77" s="23"/>
      <c r="Q77" s="21"/>
      <c r="R77" s="24"/>
      <c r="S77" s="23"/>
      <c r="T77" s="21"/>
      <c r="U77" s="24"/>
      <c r="V77" s="25">
        <f t="shared" si="7"/>
        <v>0</v>
      </c>
      <c r="W77" s="17">
        <f t="shared" si="8"/>
        <v>0</v>
      </c>
      <c r="X77" s="26"/>
      <c r="Y77" s="26"/>
      <c r="Z77" s="27"/>
      <c r="AB77" s="137"/>
      <c r="AE77" s="137"/>
    </row>
  </sheetData>
  <mergeCells count="27">
    <mergeCell ref="H4:H5"/>
    <mergeCell ref="B16:B26"/>
    <mergeCell ref="B29:B31"/>
    <mergeCell ref="X4:X5"/>
    <mergeCell ref="M4:O4"/>
    <mergeCell ref="Z4:Z5"/>
    <mergeCell ref="I4:I5"/>
    <mergeCell ref="S4:U4"/>
    <mergeCell ref="P4:R4"/>
    <mergeCell ref="W4:W5"/>
    <mergeCell ref="Y4:Y5"/>
    <mergeCell ref="A6:A27"/>
    <mergeCell ref="C4:C5"/>
    <mergeCell ref="V4:V5"/>
    <mergeCell ref="E4:E5"/>
    <mergeCell ref="E33:E34"/>
    <mergeCell ref="J4:L4"/>
    <mergeCell ref="D4:D5"/>
    <mergeCell ref="A33:A39"/>
    <mergeCell ref="A4:A5"/>
    <mergeCell ref="G4:G5"/>
    <mergeCell ref="B33:B34"/>
    <mergeCell ref="A29:A32"/>
    <mergeCell ref="C19:C20"/>
    <mergeCell ref="D19:D20"/>
    <mergeCell ref="B4:B5"/>
    <mergeCell ref="F4:F5"/>
  </mergeCells>
  <conditionalFormatting sqref="H6:H7">
    <cfRule type="top10" priority="226" rank="10"/>
    <cfRule type="colorScale" priority="225">
      <colorScale>
        <cfvo type="num" val="4"/>
        <cfvo type="num" val="8"/>
        <cfvo type="num" val="12"/>
        <color rgb="FF92D050"/>
        <color rgb="FFFFC000"/>
        <color rgb="FFFF0000"/>
      </colorScale>
    </cfRule>
    <cfRule type="colorScale" priority="224">
      <colorScale>
        <cfvo type="num" val="0"/>
        <cfvo type="num" val="8"/>
        <cfvo type="num" val="16"/>
        <color rgb="FF92D050"/>
        <color rgb="FFFFC000"/>
        <color rgb="FFFF0000"/>
      </colorScale>
    </cfRule>
  </conditionalFormatting>
  <conditionalFormatting sqref="H8">
    <cfRule type="colorScale" priority="4">
      <colorScale>
        <cfvo type="num" val="0"/>
        <cfvo type="num" val="8"/>
        <cfvo type="num" val="16"/>
        <color rgb="FF92D050"/>
        <color rgb="FFFFC000"/>
        <color rgb="FFFF0000"/>
      </colorScale>
    </cfRule>
    <cfRule type="colorScale" priority="5">
      <colorScale>
        <cfvo type="num" val="4"/>
        <cfvo type="num" val="8"/>
        <cfvo type="num" val="12"/>
        <color rgb="FF92D050"/>
        <color rgb="FFFFC000"/>
        <color rgb="FFFF0000"/>
      </colorScale>
    </cfRule>
    <cfRule type="top10" priority="6" rank="10"/>
  </conditionalFormatting>
  <conditionalFormatting sqref="H9:H15 H33:H35">
    <cfRule type="colorScale" priority="202">
      <colorScale>
        <cfvo type="num" val="4"/>
        <cfvo type="num" val="8"/>
        <cfvo type="num" val="12"/>
        <color rgb="FF92D050"/>
        <color rgb="FFFFC000"/>
        <color rgb="FFFF0000"/>
      </colorScale>
    </cfRule>
    <cfRule type="colorScale" priority="201">
      <colorScale>
        <cfvo type="num" val="0"/>
        <cfvo type="num" val="8"/>
        <cfvo type="num" val="16"/>
        <color rgb="FF92D050"/>
        <color rgb="FFFFC000"/>
        <color rgb="FFFF0000"/>
      </colorScale>
    </cfRule>
    <cfRule type="top10" priority="203" rank="10"/>
  </conditionalFormatting>
  <conditionalFormatting sqref="H16:H18">
    <cfRule type="colorScale" priority="29">
      <colorScale>
        <cfvo type="num" val="4"/>
        <cfvo type="num" val="8"/>
        <cfvo type="num" val="12"/>
        <color rgb="FF92D050"/>
        <color rgb="FFFFC000"/>
        <color rgb="FFFF0000"/>
      </colorScale>
    </cfRule>
    <cfRule type="top10" priority="30" rank="10"/>
    <cfRule type="colorScale" priority="28">
      <colorScale>
        <cfvo type="num" val="0"/>
        <cfvo type="num" val="8"/>
        <cfvo type="num" val="16"/>
        <color rgb="FF92D050"/>
        <color rgb="FFFFC000"/>
        <color rgb="FFFF0000"/>
      </colorScale>
    </cfRule>
  </conditionalFormatting>
  <conditionalFormatting sqref="H19:H21">
    <cfRule type="colorScale" priority="31">
      <colorScale>
        <cfvo type="num" val="0"/>
        <cfvo type="num" val="8"/>
        <cfvo type="num" val="16"/>
        <color rgb="FF92D050"/>
        <color rgb="FFFFC000"/>
        <color rgb="FFFF0000"/>
      </colorScale>
    </cfRule>
    <cfRule type="colorScale" priority="32">
      <colorScale>
        <cfvo type="num" val="4"/>
        <cfvo type="num" val="8"/>
        <cfvo type="num" val="12"/>
        <color rgb="FF92D050"/>
        <color rgb="FFFFC000"/>
        <color rgb="FFFF0000"/>
      </colorScale>
    </cfRule>
    <cfRule type="top10" priority="33" rank="10"/>
  </conditionalFormatting>
  <conditionalFormatting sqref="H22">
    <cfRule type="top10" priority="27" rank="10"/>
    <cfRule type="colorScale" priority="25">
      <colorScale>
        <cfvo type="num" val="0"/>
        <cfvo type="num" val="8"/>
        <cfvo type="num" val="16"/>
        <color rgb="FF92D050"/>
        <color rgb="FFFFC000"/>
        <color rgb="FFFF0000"/>
      </colorScale>
    </cfRule>
    <cfRule type="colorScale" priority="26">
      <colorScale>
        <cfvo type="num" val="4"/>
        <cfvo type="num" val="8"/>
        <cfvo type="num" val="12"/>
        <color rgb="FF92D050"/>
        <color rgb="FFFFC000"/>
        <color rgb="FFFF0000"/>
      </colorScale>
    </cfRule>
  </conditionalFormatting>
  <conditionalFormatting sqref="H23">
    <cfRule type="colorScale" priority="22">
      <colorScale>
        <cfvo type="num" val="0"/>
        <cfvo type="num" val="8"/>
        <cfvo type="num" val="16"/>
        <color rgb="FF92D050"/>
        <color rgb="FFFFC000"/>
        <color rgb="FFFF0000"/>
      </colorScale>
    </cfRule>
    <cfRule type="colorScale" priority="23">
      <colorScale>
        <cfvo type="num" val="4"/>
        <cfvo type="num" val="8"/>
        <cfvo type="num" val="12"/>
        <color rgb="FF92D050"/>
        <color rgb="FFFFC000"/>
        <color rgb="FFFF0000"/>
      </colorScale>
    </cfRule>
    <cfRule type="top10" priority="24" rank="10"/>
  </conditionalFormatting>
  <conditionalFormatting sqref="H24">
    <cfRule type="top10" priority="21" rank="10"/>
    <cfRule type="colorScale" priority="20">
      <colorScale>
        <cfvo type="num" val="4"/>
        <cfvo type="num" val="8"/>
        <cfvo type="num" val="12"/>
        <color rgb="FF92D050"/>
        <color rgb="FFFFC000"/>
        <color rgb="FFFF0000"/>
      </colorScale>
    </cfRule>
    <cfRule type="colorScale" priority="19">
      <colorScale>
        <cfvo type="num" val="0"/>
        <cfvo type="num" val="8"/>
        <cfvo type="num" val="16"/>
        <color rgb="FF92D050"/>
        <color rgb="FFFFC000"/>
        <color rgb="FFFF0000"/>
      </colorScale>
    </cfRule>
  </conditionalFormatting>
  <conditionalFormatting sqref="H25:H32">
    <cfRule type="colorScale" priority="198">
      <colorScale>
        <cfvo type="num" val="0"/>
        <cfvo type="num" val="8"/>
        <cfvo type="num" val="16"/>
        <color rgb="FF92D050"/>
        <color rgb="FFFFC000"/>
        <color rgb="FFFF0000"/>
      </colorScale>
    </cfRule>
    <cfRule type="colorScale" priority="199">
      <colorScale>
        <cfvo type="num" val="4"/>
        <cfvo type="num" val="8"/>
        <cfvo type="num" val="12"/>
        <color rgb="FF92D050"/>
        <color rgb="FFFFC000"/>
        <color rgb="FFFF0000"/>
      </colorScale>
    </cfRule>
    <cfRule type="top10" priority="200" rank="10"/>
  </conditionalFormatting>
  <conditionalFormatting sqref="H36:H39">
    <cfRule type="colorScale" priority="55">
      <colorScale>
        <cfvo type="num" val="0"/>
        <cfvo type="num" val="8"/>
        <cfvo type="num" val="16"/>
        <color rgb="FF92D050"/>
        <color rgb="FFFFC000"/>
        <color rgb="FFFF0000"/>
      </colorScale>
    </cfRule>
    <cfRule type="colorScale" priority="56">
      <colorScale>
        <cfvo type="num" val="4"/>
        <cfvo type="num" val="8"/>
        <cfvo type="num" val="12"/>
        <color rgb="FF92D050"/>
        <color rgb="FFFFC000"/>
        <color rgb="FFFF0000"/>
      </colorScale>
    </cfRule>
    <cfRule type="top10" priority="57" rank="10"/>
  </conditionalFormatting>
  <conditionalFormatting sqref="H40:H58">
    <cfRule type="colorScale" priority="58">
      <colorScale>
        <cfvo type="num" val="0"/>
        <cfvo type="num" val="8"/>
        <cfvo type="num" val="16"/>
        <color rgb="FF92D050"/>
        <color rgb="FFFFC000"/>
        <color rgb="FFFF0000"/>
      </colorScale>
    </cfRule>
    <cfRule type="colorScale" priority="59">
      <colorScale>
        <cfvo type="num" val="4"/>
        <cfvo type="num" val="8"/>
        <cfvo type="num" val="12"/>
        <color rgb="FF92D050"/>
        <color rgb="FFFFC000"/>
        <color rgb="FFFF0000"/>
      </colorScale>
    </cfRule>
    <cfRule type="top10" priority="60" rank="10"/>
  </conditionalFormatting>
  <conditionalFormatting sqref="H59:H70">
    <cfRule type="colorScale" priority="49">
      <colorScale>
        <cfvo type="num" val="0"/>
        <cfvo type="num" val="8"/>
        <cfvo type="num" val="16"/>
        <color rgb="FF92D050"/>
        <color rgb="FFFFC000"/>
        <color rgb="FFFF0000"/>
      </colorScale>
    </cfRule>
    <cfRule type="colorScale" priority="50">
      <colorScale>
        <cfvo type="num" val="4"/>
        <cfvo type="num" val="8"/>
        <cfvo type="num" val="12"/>
        <color rgb="FF92D050"/>
        <color rgb="FFFFC000"/>
        <color rgb="FFFF0000"/>
      </colorScale>
    </cfRule>
    <cfRule type="top10" priority="51" rank="10"/>
  </conditionalFormatting>
  <conditionalFormatting sqref="H71:H77">
    <cfRule type="colorScale" priority="52">
      <colorScale>
        <cfvo type="num" val="0"/>
        <cfvo type="num" val="8"/>
        <cfvo type="num" val="16"/>
        <color rgb="FF92D050"/>
        <color rgb="FFFFC000"/>
        <color rgb="FFFF0000"/>
      </colorScale>
    </cfRule>
    <cfRule type="colorScale" priority="53">
      <colorScale>
        <cfvo type="num" val="4"/>
        <cfvo type="num" val="8"/>
        <cfvo type="num" val="12"/>
        <color rgb="FF92D050"/>
        <color rgb="FFFFC000"/>
        <color rgb="FFFF0000"/>
      </colorScale>
    </cfRule>
    <cfRule type="top10" priority="54" rank="10"/>
  </conditionalFormatting>
  <conditionalFormatting sqref="W6:W77">
    <cfRule type="cellIs" dxfId="22" priority="7" operator="between">
      <formula>13</formula>
      <formula>99.99</formula>
    </cfRule>
    <cfRule type="cellIs" dxfId="21" priority="8" operator="between">
      <formula>9</formula>
      <formula>12.99</formula>
    </cfRule>
    <cfRule type="cellIs" dxfId="20" priority="10" operator="between">
      <formula>0.01</formula>
      <formula>4.99</formula>
    </cfRule>
    <cfRule type="cellIs" dxfId="19" priority="9" operator="between">
      <formula>5</formula>
      <formula>8.99</formula>
    </cfRule>
  </conditionalFormatting>
  <conditionalFormatting sqref="AA6:AA77">
    <cfRule type="expression" dxfId="18" priority="227">
      <formula>AA6="Clôturée"</formula>
    </cfRule>
    <cfRule type="expression" dxfId="17" priority="228">
      <formula>AA6="En cours"</formula>
    </cfRule>
    <cfRule type="expression" dxfId="16" priority="229">
      <formula>AA6="Bloquée"</formula>
    </cfRule>
  </conditionalFormatting>
  <dataValidations count="8">
    <dataValidation type="list" allowBlank="1" showInputMessage="1" showErrorMessage="1" sqref="J6:J7 J9:J77 M6:M7 M9:M77 P6:P7 P9:P77 S6:S7 S9:S77" xr:uid="{00000000-0002-0000-0200-000000000000}">
      <formula1>"3"</formula1>
    </dataValidation>
    <dataValidation type="list" allowBlank="1" showInputMessage="1" showErrorMessage="1" sqref="L6:L7 L9:L77 O6:O7 O9:O77 R6:R7 R9:R77 U6:U7 U9:U77" xr:uid="{00000000-0002-0000-0200-000001000000}">
      <formula1>"1"</formula1>
    </dataValidation>
    <dataValidation type="list" allowBlank="1" showInputMessage="1" showErrorMessage="1" sqref="K6:K7 K9:K77 N6:N7 N9:N77 Q6:Q7 Q9:Q77 T6:T7 T9:T77" xr:uid="{00000000-0002-0000-0200-000002000000}">
      <formula1>"2"</formula1>
    </dataValidation>
    <dataValidation type="list" allowBlank="1" showInputMessage="1" showErrorMessage="1" sqref="G6:G7 G28" xr:uid="{00000000-0002-0000-0200-000003000000}">
      <formula1>"1,2,3,4"</formula1>
    </dataValidation>
    <dataValidation type="list" allowBlank="1" showInputMessage="1" showErrorMessage="1" sqref="F6:F7 F28" xr:uid="{00000000-0002-0000-0200-000004000000}">
      <formula1>"2,3,4,5"</formula1>
    </dataValidation>
    <dataValidation type="list" sqref="AA6:AA77" xr:uid="{00000000-0002-0000-0200-000005000000}">
      <formula1>"À lancer,En cours,Bloquée,Clôturée"</formula1>
    </dataValidation>
    <dataValidation type="list" allowBlank="1" sqref="AC6:AC77" xr:uid="{00000000-0002-0000-0200-000006000000}">
      <formula1>"Automatique,Forcée,Exclue"</formula1>
    </dataValidation>
    <dataValidation type="list" allowBlank="1" sqref="AD6:AD77" xr:uid="{00000000-0002-0000-0200-000007000000}">
      <formula1>"Oui,Non,Partiellement,À vérifier"</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AF77"/>
  <sheetViews>
    <sheetView workbookViewId="0"/>
  </sheetViews>
  <sheetFormatPr baseColWidth="10" defaultRowHeight="12.75"/>
  <cols>
    <col min="1" max="1" width="47.85546875" customWidth="1"/>
    <col min="2" max="5" width="27.140625" customWidth="1"/>
    <col min="6" max="8" width="4.85546875" customWidth="1"/>
    <col min="9" max="9" width="51.28515625" customWidth="1"/>
    <col min="10" max="23" width="6.5703125" customWidth="1"/>
    <col min="24" max="26" width="20.7109375" customWidth="1"/>
    <col min="27" max="27" width="14" customWidth="1"/>
    <col min="28" max="28" width="15" customWidth="1"/>
    <col min="29" max="30" width="18" customWidth="1"/>
    <col min="31" max="31" width="16" customWidth="1"/>
    <col min="32" max="32" width="32" customWidth="1"/>
  </cols>
  <sheetData>
    <row r="1" spans="1:32">
      <c r="A1" s="9"/>
      <c r="B1" s="10"/>
      <c r="C1" s="4"/>
      <c r="D1" s="4"/>
      <c r="E1" s="1"/>
      <c r="F1" s="6"/>
      <c r="G1" s="6"/>
      <c r="H1" s="7" t="s">
        <v>79</v>
      </c>
      <c r="I1" s="6"/>
      <c r="J1" s="6"/>
      <c r="K1" s="1"/>
      <c r="L1" s="8" t="s">
        <v>80</v>
      </c>
      <c r="M1" s="8"/>
      <c r="N1" s="8"/>
      <c r="O1" s="8"/>
      <c r="P1" s="8"/>
      <c r="Q1" s="8"/>
      <c r="R1" s="1"/>
      <c r="S1" s="1"/>
      <c r="T1" s="1"/>
      <c r="U1" s="1"/>
      <c r="V1" s="1"/>
      <c r="W1" s="1"/>
      <c r="X1" s="1"/>
      <c r="Y1" s="1"/>
      <c r="Z1" s="1"/>
    </row>
    <row r="2" spans="1:32">
      <c r="A2" s="1"/>
      <c r="B2" s="2"/>
      <c r="C2" s="4"/>
      <c r="D2" s="4"/>
      <c r="E2" s="1"/>
      <c r="F2" s="11"/>
      <c r="G2" s="11"/>
      <c r="H2" s="11"/>
      <c r="I2" s="11"/>
      <c r="J2" s="1"/>
      <c r="K2" s="1"/>
      <c r="L2" s="1"/>
      <c r="M2" s="1"/>
      <c r="N2" s="1"/>
      <c r="O2" s="1"/>
      <c r="P2" s="1"/>
      <c r="Q2" s="1"/>
      <c r="R2" s="1"/>
      <c r="S2" s="1"/>
      <c r="T2" s="1"/>
      <c r="U2" s="1"/>
      <c r="V2" s="1"/>
      <c r="W2" s="1"/>
      <c r="X2" s="1"/>
      <c r="Y2" s="1"/>
      <c r="Z2" s="1"/>
    </row>
    <row r="3" spans="1:32" ht="13.5" customHeight="1">
      <c r="A3" s="1"/>
      <c r="B3" s="2"/>
      <c r="C3" s="1"/>
      <c r="D3" s="1"/>
      <c r="E3" s="1"/>
      <c r="F3" s="12"/>
      <c r="G3" s="12"/>
      <c r="H3" s="13" t="s">
        <v>81</v>
      </c>
      <c r="I3" s="12"/>
      <c r="J3" s="12"/>
      <c r="K3" s="1"/>
      <c r="L3" s="14" t="s">
        <v>82</v>
      </c>
      <c r="M3" s="15"/>
      <c r="N3" s="15"/>
      <c r="O3" s="15"/>
      <c r="P3" s="15"/>
      <c r="Q3" s="15"/>
      <c r="R3" s="1"/>
      <c r="S3" s="1"/>
      <c r="T3" s="1"/>
      <c r="U3" s="1"/>
      <c r="V3" s="1"/>
      <c r="W3" s="1"/>
      <c r="X3" s="1"/>
      <c r="Y3" s="1"/>
      <c r="Z3" s="1"/>
    </row>
    <row r="4" spans="1:32" ht="25.5">
      <c r="A4" s="184" t="s">
        <v>83</v>
      </c>
      <c r="B4" s="184" t="s">
        <v>84</v>
      </c>
      <c r="C4" s="172" t="s">
        <v>85</v>
      </c>
      <c r="D4" s="172" t="s">
        <v>86</v>
      </c>
      <c r="E4" s="176" t="s">
        <v>87</v>
      </c>
      <c r="F4" s="193" t="s">
        <v>88</v>
      </c>
      <c r="G4" s="174" t="s">
        <v>89</v>
      </c>
      <c r="H4" s="174" t="s">
        <v>90</v>
      </c>
      <c r="I4" s="174" t="s">
        <v>91</v>
      </c>
      <c r="J4" s="180" t="s">
        <v>92</v>
      </c>
      <c r="K4" s="181"/>
      <c r="L4" s="182"/>
      <c r="M4" s="180" t="s">
        <v>93</v>
      </c>
      <c r="N4" s="181"/>
      <c r="O4" s="182"/>
      <c r="P4" s="180" t="s">
        <v>94</v>
      </c>
      <c r="Q4" s="181"/>
      <c r="R4" s="182"/>
      <c r="S4" s="180" t="s">
        <v>95</v>
      </c>
      <c r="T4" s="181"/>
      <c r="U4" s="182"/>
      <c r="V4" s="174" t="s">
        <v>96</v>
      </c>
      <c r="W4" s="192" t="s">
        <v>97</v>
      </c>
      <c r="X4" s="186" t="s">
        <v>98</v>
      </c>
      <c r="Y4" s="186" t="s">
        <v>99</v>
      </c>
      <c r="Z4" s="187" t="s">
        <v>100</v>
      </c>
      <c r="AA4" s="135" t="s">
        <v>101</v>
      </c>
      <c r="AB4" s="135" t="s">
        <v>102</v>
      </c>
      <c r="AC4" s="143" t="s">
        <v>103</v>
      </c>
      <c r="AD4" s="143" t="s">
        <v>104</v>
      </c>
      <c r="AE4" s="143" t="s">
        <v>105</v>
      </c>
      <c r="AF4" s="143" t="s">
        <v>106</v>
      </c>
    </row>
    <row r="5" spans="1:32" ht="51.75" customHeight="1">
      <c r="A5" s="185"/>
      <c r="B5" s="185"/>
      <c r="C5" s="173"/>
      <c r="D5" s="173"/>
      <c r="E5" s="177"/>
      <c r="F5" s="175"/>
      <c r="G5" s="175"/>
      <c r="H5" s="175"/>
      <c r="I5" s="175"/>
      <c r="J5" s="16" t="s">
        <v>107</v>
      </c>
      <c r="K5" s="16" t="s">
        <v>108</v>
      </c>
      <c r="L5" s="16" t="s">
        <v>109</v>
      </c>
      <c r="M5" s="16" t="s">
        <v>107</v>
      </c>
      <c r="N5" s="16" t="s">
        <v>108</v>
      </c>
      <c r="O5" s="16" t="s">
        <v>109</v>
      </c>
      <c r="P5" s="16" t="s">
        <v>107</v>
      </c>
      <c r="Q5" s="16" t="s">
        <v>108</v>
      </c>
      <c r="R5" s="16" t="s">
        <v>109</v>
      </c>
      <c r="S5" s="16" t="s">
        <v>107</v>
      </c>
      <c r="T5" s="16" t="s">
        <v>108</v>
      </c>
      <c r="U5" s="16" t="s">
        <v>109</v>
      </c>
      <c r="V5" s="175"/>
      <c r="W5" s="185"/>
      <c r="X5" s="175"/>
      <c r="Y5" s="175"/>
      <c r="Z5" s="188"/>
      <c r="AA5" s="136"/>
      <c r="AB5" s="136"/>
    </row>
    <row r="6" spans="1:32">
      <c r="A6" s="169"/>
      <c r="B6" s="28"/>
      <c r="C6" s="41"/>
      <c r="D6" s="42"/>
      <c r="E6" s="42"/>
      <c r="F6" s="43"/>
      <c r="G6" s="43"/>
      <c r="H6" s="17">
        <f t="shared" ref="H6:H37" si="0">F6*G6</f>
        <v>0</v>
      </c>
      <c r="I6" s="49"/>
      <c r="J6" s="44"/>
      <c r="K6" s="45"/>
      <c r="L6" s="46"/>
      <c r="M6" s="44"/>
      <c r="N6" s="45"/>
      <c r="O6" s="46"/>
      <c r="P6" s="44"/>
      <c r="Q6" s="45"/>
      <c r="R6" s="46"/>
      <c r="S6" s="44"/>
      <c r="T6" s="45"/>
      <c r="U6" s="46"/>
      <c r="V6" s="47">
        <f t="shared" ref="V6:V37" si="1">SUM(J6:L6)*SUM(M6:O6)*SUM(P6:R6)*SUM(S6:U6)/4</f>
        <v>0</v>
      </c>
      <c r="W6" s="48">
        <f t="shared" ref="W6:W37" si="2">IFERROR(H6/V6,0)</f>
        <v>0</v>
      </c>
      <c r="X6" s="49"/>
      <c r="Y6" s="49"/>
      <c r="Z6" s="50"/>
      <c r="AB6" s="137"/>
      <c r="AE6" s="137"/>
    </row>
    <row r="7" spans="1:32">
      <c r="A7" s="170"/>
      <c r="B7" s="30"/>
      <c r="C7" s="19"/>
      <c r="D7" s="20"/>
      <c r="E7" s="20"/>
      <c r="F7" s="21"/>
      <c r="G7" s="21"/>
      <c r="H7" s="17">
        <f t="shared" si="0"/>
        <v>0</v>
      </c>
      <c r="I7" s="26"/>
      <c r="J7" s="23"/>
      <c r="K7" s="21"/>
      <c r="L7" s="24"/>
      <c r="M7" s="23"/>
      <c r="N7" s="21"/>
      <c r="O7" s="24"/>
      <c r="P7" s="23"/>
      <c r="Q7" s="21"/>
      <c r="R7" s="24"/>
      <c r="S7" s="23"/>
      <c r="T7" s="21"/>
      <c r="U7" s="24"/>
      <c r="V7" s="25">
        <f t="shared" si="1"/>
        <v>0</v>
      </c>
      <c r="W7" s="17">
        <f t="shared" si="2"/>
        <v>0</v>
      </c>
      <c r="X7" s="36"/>
      <c r="Y7" s="51"/>
      <c r="Z7" s="52"/>
      <c r="AB7" s="137"/>
      <c r="AE7" s="137"/>
    </row>
    <row r="8" spans="1:32">
      <c r="A8" s="170"/>
      <c r="B8" s="18"/>
      <c r="C8" s="53"/>
      <c r="D8" s="20"/>
      <c r="E8" s="20"/>
      <c r="F8" s="45"/>
      <c r="G8" s="45"/>
      <c r="H8" s="17">
        <f t="shared" si="0"/>
        <v>0</v>
      </c>
      <c r="I8" s="32"/>
      <c r="J8" s="23"/>
      <c r="K8" s="21"/>
      <c r="L8" s="24"/>
      <c r="M8" s="23"/>
      <c r="N8" s="21"/>
      <c r="O8" s="24"/>
      <c r="P8" s="23"/>
      <c r="Q8" s="21"/>
      <c r="R8" s="24"/>
      <c r="S8" s="23"/>
      <c r="T8" s="21"/>
      <c r="U8" s="24"/>
      <c r="V8" s="25">
        <f t="shared" si="1"/>
        <v>0</v>
      </c>
      <c r="W8" s="17">
        <f t="shared" si="2"/>
        <v>0</v>
      </c>
      <c r="X8" s="49"/>
      <c r="Y8" s="54"/>
      <c r="Z8" s="50"/>
      <c r="AB8" s="137"/>
      <c r="AE8" s="137"/>
    </row>
    <row r="9" spans="1:32">
      <c r="A9" s="170"/>
      <c r="B9" s="18"/>
      <c r="C9" s="19"/>
      <c r="D9" s="20"/>
      <c r="E9" s="20"/>
      <c r="F9" s="21"/>
      <c r="G9" s="21"/>
      <c r="H9" s="17">
        <f t="shared" si="0"/>
        <v>0</v>
      </c>
      <c r="I9" s="22"/>
      <c r="J9" s="23"/>
      <c r="K9" s="21"/>
      <c r="L9" s="24"/>
      <c r="M9" s="23"/>
      <c r="N9" s="21"/>
      <c r="O9" s="24"/>
      <c r="P9" s="23"/>
      <c r="Q9" s="21"/>
      <c r="R9" s="24"/>
      <c r="S9" s="23"/>
      <c r="T9" s="21"/>
      <c r="U9" s="24"/>
      <c r="V9" s="25">
        <f t="shared" si="1"/>
        <v>0</v>
      </c>
      <c r="W9" s="17">
        <f t="shared" si="2"/>
        <v>0</v>
      </c>
      <c r="X9" s="26"/>
      <c r="Y9" s="26"/>
      <c r="Z9" s="27"/>
      <c r="AB9" s="137"/>
      <c r="AE9" s="137"/>
    </row>
    <row r="10" spans="1:32">
      <c r="A10" s="170"/>
      <c r="B10" s="18"/>
      <c r="C10" s="19"/>
      <c r="D10" s="20"/>
      <c r="E10" s="20"/>
      <c r="F10" s="21"/>
      <c r="G10" s="21"/>
      <c r="H10" s="17">
        <f t="shared" si="0"/>
        <v>0</v>
      </c>
      <c r="I10" s="22"/>
      <c r="J10" s="23"/>
      <c r="K10" s="21"/>
      <c r="L10" s="24"/>
      <c r="M10" s="23"/>
      <c r="N10" s="21"/>
      <c r="O10" s="24"/>
      <c r="P10" s="23"/>
      <c r="Q10" s="21"/>
      <c r="R10" s="24"/>
      <c r="S10" s="23"/>
      <c r="T10" s="21"/>
      <c r="U10" s="24"/>
      <c r="V10" s="25">
        <f t="shared" si="1"/>
        <v>0</v>
      </c>
      <c r="W10" s="17">
        <f t="shared" si="2"/>
        <v>0</v>
      </c>
      <c r="X10" s="26"/>
      <c r="Y10" s="26"/>
      <c r="Z10" s="27"/>
      <c r="AB10" s="137"/>
      <c r="AE10" s="137"/>
    </row>
    <row r="11" spans="1:32">
      <c r="A11" s="170"/>
      <c r="B11" s="35"/>
      <c r="C11" s="19"/>
      <c r="D11" s="20"/>
      <c r="E11" s="20"/>
      <c r="F11" s="21"/>
      <c r="G11" s="21"/>
      <c r="H11" s="17">
        <f t="shared" si="0"/>
        <v>0</v>
      </c>
      <c r="I11" s="33"/>
      <c r="J11" s="23"/>
      <c r="K11" s="21"/>
      <c r="L11" s="24"/>
      <c r="M11" s="23"/>
      <c r="N11" s="21"/>
      <c r="O11" s="24"/>
      <c r="P11" s="23"/>
      <c r="Q11" s="21"/>
      <c r="R11" s="24"/>
      <c r="S11" s="23"/>
      <c r="T11" s="21"/>
      <c r="U11" s="24"/>
      <c r="V11" s="25">
        <f t="shared" si="1"/>
        <v>0</v>
      </c>
      <c r="W11" s="17">
        <f t="shared" si="2"/>
        <v>0</v>
      </c>
      <c r="X11" s="26"/>
      <c r="Y11" s="55"/>
      <c r="Z11" s="27"/>
      <c r="AB11" s="137"/>
      <c r="AE11" s="137"/>
    </row>
    <row r="12" spans="1:32">
      <c r="A12" s="170"/>
      <c r="B12" s="18"/>
      <c r="C12" s="19"/>
      <c r="D12" s="20"/>
      <c r="E12" s="20"/>
      <c r="F12" s="21"/>
      <c r="G12" s="21"/>
      <c r="H12" s="17">
        <f t="shared" si="0"/>
        <v>0</v>
      </c>
      <c r="I12" s="33"/>
      <c r="J12" s="23"/>
      <c r="K12" s="21"/>
      <c r="L12" s="24"/>
      <c r="M12" s="23"/>
      <c r="N12" s="21"/>
      <c r="O12" s="24"/>
      <c r="P12" s="23"/>
      <c r="Q12" s="21"/>
      <c r="R12" s="24"/>
      <c r="S12" s="23"/>
      <c r="T12" s="21"/>
      <c r="U12" s="24"/>
      <c r="V12" s="25">
        <f t="shared" si="1"/>
        <v>0</v>
      </c>
      <c r="W12" s="17">
        <f t="shared" si="2"/>
        <v>0</v>
      </c>
      <c r="X12" s="26"/>
      <c r="Y12" s="55"/>
      <c r="Z12" s="27"/>
      <c r="AB12" s="137"/>
      <c r="AE12" s="137"/>
    </row>
    <row r="13" spans="1:32">
      <c r="A13" s="170"/>
      <c r="B13" s="28"/>
      <c r="C13" s="19"/>
      <c r="D13" s="20"/>
      <c r="E13" s="20"/>
      <c r="F13" s="21"/>
      <c r="G13" s="21"/>
      <c r="H13" s="17">
        <f t="shared" si="0"/>
        <v>0</v>
      </c>
      <c r="I13" s="33"/>
      <c r="J13" s="23"/>
      <c r="K13" s="21"/>
      <c r="L13" s="24"/>
      <c r="M13" s="23"/>
      <c r="N13" s="21"/>
      <c r="O13" s="24"/>
      <c r="P13" s="23"/>
      <c r="Q13" s="21"/>
      <c r="R13" s="24"/>
      <c r="S13" s="23"/>
      <c r="T13" s="21"/>
      <c r="U13" s="24"/>
      <c r="V13" s="25">
        <f t="shared" si="1"/>
        <v>0</v>
      </c>
      <c r="W13" s="17">
        <f t="shared" si="2"/>
        <v>0</v>
      </c>
      <c r="X13" s="26"/>
      <c r="Y13" s="55"/>
      <c r="Z13" s="27"/>
      <c r="AB13" s="137"/>
      <c r="AE13" s="137"/>
    </row>
    <row r="14" spans="1:32" ht="73.5" customHeight="1">
      <c r="A14" s="170"/>
      <c r="B14" s="18"/>
      <c r="C14" s="19"/>
      <c r="D14" s="20"/>
      <c r="E14" s="20"/>
      <c r="F14" s="21"/>
      <c r="G14" s="21"/>
      <c r="H14" s="17">
        <f t="shared" si="0"/>
        <v>0</v>
      </c>
      <c r="I14" s="26"/>
      <c r="J14" s="23"/>
      <c r="K14" s="21"/>
      <c r="L14" s="24"/>
      <c r="M14" s="23"/>
      <c r="N14" s="21"/>
      <c r="O14" s="24"/>
      <c r="P14" s="23"/>
      <c r="Q14" s="21"/>
      <c r="R14" s="24"/>
      <c r="S14" s="23"/>
      <c r="T14" s="21"/>
      <c r="U14" s="24"/>
      <c r="V14" s="25">
        <f t="shared" si="1"/>
        <v>0</v>
      </c>
      <c r="W14" s="17">
        <f t="shared" si="2"/>
        <v>0</v>
      </c>
      <c r="X14" s="22"/>
      <c r="Y14" s="55"/>
      <c r="Z14" s="27"/>
      <c r="AB14" s="137"/>
      <c r="AE14" s="137"/>
    </row>
    <row r="15" spans="1:32" ht="42.75" customHeight="1">
      <c r="A15" s="170"/>
      <c r="B15" s="35"/>
      <c r="C15" s="19"/>
      <c r="D15" s="20"/>
      <c r="E15" s="20"/>
      <c r="F15" s="21"/>
      <c r="G15" s="21"/>
      <c r="H15" s="17">
        <f t="shared" si="0"/>
        <v>0</v>
      </c>
      <c r="I15" s="26"/>
      <c r="J15" s="23"/>
      <c r="K15" s="21"/>
      <c r="L15" s="24"/>
      <c r="M15" s="23"/>
      <c r="N15" s="21"/>
      <c r="O15" s="24"/>
      <c r="P15" s="23"/>
      <c r="Q15" s="21"/>
      <c r="R15" s="24"/>
      <c r="S15" s="23"/>
      <c r="T15" s="21"/>
      <c r="U15" s="24"/>
      <c r="V15" s="25">
        <f t="shared" si="1"/>
        <v>0</v>
      </c>
      <c r="W15" s="17">
        <f t="shared" si="2"/>
        <v>0</v>
      </c>
      <c r="X15" s="26"/>
      <c r="Y15" s="55"/>
      <c r="Z15" s="27"/>
      <c r="AB15" s="137"/>
      <c r="AE15" s="137"/>
    </row>
    <row r="16" spans="1:32">
      <c r="A16" s="170"/>
      <c r="B16" s="189"/>
      <c r="C16" s="19"/>
      <c r="D16" s="20"/>
      <c r="E16" s="20"/>
      <c r="F16" s="21"/>
      <c r="G16" s="21"/>
      <c r="H16" s="17">
        <f t="shared" si="0"/>
        <v>0</v>
      </c>
      <c r="I16" s="22"/>
      <c r="J16" s="23"/>
      <c r="K16" s="21"/>
      <c r="L16" s="24"/>
      <c r="M16" s="23"/>
      <c r="N16" s="21"/>
      <c r="O16" s="24"/>
      <c r="P16" s="23"/>
      <c r="Q16" s="21"/>
      <c r="R16" s="24"/>
      <c r="S16" s="23"/>
      <c r="T16" s="21"/>
      <c r="U16" s="24"/>
      <c r="V16" s="25">
        <f t="shared" si="1"/>
        <v>0</v>
      </c>
      <c r="W16" s="17">
        <f t="shared" si="2"/>
        <v>0</v>
      </c>
      <c r="X16" s="26"/>
      <c r="Y16" s="55"/>
      <c r="Z16" s="27"/>
      <c r="AB16" s="137"/>
      <c r="AE16" s="137"/>
    </row>
    <row r="17" spans="1:31">
      <c r="A17" s="170"/>
      <c r="B17" s="194"/>
      <c r="C17" s="19"/>
      <c r="D17" s="20"/>
      <c r="E17" s="20"/>
      <c r="F17" s="21"/>
      <c r="G17" s="21"/>
      <c r="H17" s="17">
        <f t="shared" si="0"/>
        <v>0</v>
      </c>
      <c r="I17" s="22"/>
      <c r="J17" s="23"/>
      <c r="K17" s="21"/>
      <c r="L17" s="24"/>
      <c r="M17" s="23"/>
      <c r="N17" s="21"/>
      <c r="O17" s="24"/>
      <c r="P17" s="23"/>
      <c r="Q17" s="21"/>
      <c r="R17" s="24"/>
      <c r="S17" s="23"/>
      <c r="T17" s="21"/>
      <c r="U17" s="24"/>
      <c r="V17" s="25">
        <f t="shared" si="1"/>
        <v>0</v>
      </c>
      <c r="W17" s="17">
        <f t="shared" si="2"/>
        <v>0</v>
      </c>
      <c r="X17" s="26"/>
      <c r="Y17" s="55"/>
      <c r="Z17" s="27"/>
      <c r="AB17" s="137"/>
      <c r="AE17" s="137"/>
    </row>
    <row r="18" spans="1:31">
      <c r="A18" s="170"/>
      <c r="B18" s="194"/>
      <c r="C18" s="19"/>
      <c r="D18" s="20"/>
      <c r="E18" s="20"/>
      <c r="F18" s="21"/>
      <c r="G18" s="21"/>
      <c r="H18" s="17">
        <f t="shared" si="0"/>
        <v>0</v>
      </c>
      <c r="I18" s="22"/>
      <c r="J18" s="23"/>
      <c r="K18" s="21"/>
      <c r="L18" s="24"/>
      <c r="M18" s="23"/>
      <c r="N18" s="21"/>
      <c r="O18" s="24"/>
      <c r="P18" s="23"/>
      <c r="Q18" s="21"/>
      <c r="R18" s="24"/>
      <c r="S18" s="23"/>
      <c r="T18" s="21"/>
      <c r="U18" s="24"/>
      <c r="V18" s="25">
        <f t="shared" si="1"/>
        <v>0</v>
      </c>
      <c r="W18" s="17">
        <f t="shared" si="2"/>
        <v>0</v>
      </c>
      <c r="X18" s="22"/>
      <c r="Y18" s="55"/>
      <c r="Z18" s="27"/>
      <c r="AB18" s="137"/>
      <c r="AE18" s="137"/>
    </row>
    <row r="19" spans="1:31" ht="79.5" customHeight="1">
      <c r="A19" s="170"/>
      <c r="B19" s="194"/>
      <c r="C19" s="178"/>
      <c r="D19" s="178"/>
      <c r="E19" s="20"/>
      <c r="F19" s="21"/>
      <c r="G19" s="21"/>
      <c r="H19" s="17">
        <f t="shared" si="0"/>
        <v>0</v>
      </c>
      <c r="I19" s="29"/>
      <c r="J19" s="23"/>
      <c r="K19" s="21"/>
      <c r="L19" s="24"/>
      <c r="M19" s="23"/>
      <c r="N19" s="21"/>
      <c r="O19" s="24"/>
      <c r="P19" s="23"/>
      <c r="Q19" s="21"/>
      <c r="R19" s="24"/>
      <c r="S19" s="23"/>
      <c r="T19" s="21"/>
      <c r="U19" s="24"/>
      <c r="V19" s="25">
        <f t="shared" si="1"/>
        <v>0</v>
      </c>
      <c r="W19" s="17">
        <f t="shared" si="2"/>
        <v>0</v>
      </c>
      <c r="X19" s="26"/>
      <c r="Y19" s="55"/>
      <c r="Z19" s="27"/>
      <c r="AB19" s="137"/>
      <c r="AE19" s="137"/>
    </row>
    <row r="20" spans="1:31">
      <c r="A20" s="170"/>
      <c r="B20" s="194"/>
      <c r="C20" s="179"/>
      <c r="D20" s="179"/>
      <c r="E20" s="20"/>
      <c r="F20" s="21"/>
      <c r="G20" s="21"/>
      <c r="H20" s="17">
        <f t="shared" si="0"/>
        <v>0</v>
      </c>
      <c r="I20" s="22"/>
      <c r="J20" s="23"/>
      <c r="K20" s="21"/>
      <c r="L20" s="24"/>
      <c r="M20" s="23"/>
      <c r="N20" s="21"/>
      <c r="O20" s="24"/>
      <c r="P20" s="23"/>
      <c r="Q20" s="21"/>
      <c r="R20" s="24"/>
      <c r="S20" s="23"/>
      <c r="T20" s="21"/>
      <c r="U20" s="24"/>
      <c r="V20" s="25">
        <f t="shared" si="1"/>
        <v>0</v>
      </c>
      <c r="W20" s="17">
        <f t="shared" si="2"/>
        <v>0</v>
      </c>
      <c r="X20" s="26"/>
      <c r="Y20" s="55"/>
      <c r="Z20" s="27"/>
      <c r="AB20" s="137"/>
      <c r="AE20" s="137"/>
    </row>
    <row r="21" spans="1:31">
      <c r="A21" s="170"/>
      <c r="B21" s="194"/>
      <c r="C21" s="19"/>
      <c r="D21" s="20"/>
      <c r="E21" s="20"/>
      <c r="F21" s="21"/>
      <c r="G21" s="21"/>
      <c r="H21" s="17">
        <f t="shared" si="0"/>
        <v>0</v>
      </c>
      <c r="I21" s="22"/>
      <c r="J21" s="23"/>
      <c r="K21" s="21"/>
      <c r="L21" s="24"/>
      <c r="M21" s="23"/>
      <c r="N21" s="21"/>
      <c r="O21" s="24"/>
      <c r="P21" s="23"/>
      <c r="Q21" s="21"/>
      <c r="R21" s="24"/>
      <c r="S21" s="23"/>
      <c r="T21" s="21"/>
      <c r="U21" s="24"/>
      <c r="V21" s="25">
        <f t="shared" si="1"/>
        <v>0</v>
      </c>
      <c r="W21" s="17">
        <f t="shared" si="2"/>
        <v>0</v>
      </c>
      <c r="X21" s="26"/>
      <c r="Y21" s="55"/>
      <c r="Z21" s="27"/>
      <c r="AB21" s="137"/>
      <c r="AE21" s="137"/>
    </row>
    <row r="22" spans="1:31" ht="37.5" customHeight="1">
      <c r="A22" s="170"/>
      <c r="B22" s="194"/>
      <c r="C22" s="19"/>
      <c r="D22" s="20"/>
      <c r="E22" s="20"/>
      <c r="F22" s="21"/>
      <c r="G22" s="21"/>
      <c r="H22" s="17">
        <f t="shared" si="0"/>
        <v>0</v>
      </c>
      <c r="I22" s="34"/>
      <c r="J22" s="23"/>
      <c r="K22" s="21"/>
      <c r="L22" s="24"/>
      <c r="M22" s="23"/>
      <c r="N22" s="21"/>
      <c r="O22" s="24"/>
      <c r="P22" s="23"/>
      <c r="Q22" s="21"/>
      <c r="R22" s="24"/>
      <c r="S22" s="23"/>
      <c r="T22" s="21"/>
      <c r="U22" s="24"/>
      <c r="V22" s="25">
        <f t="shared" si="1"/>
        <v>0</v>
      </c>
      <c r="W22" s="17">
        <f t="shared" si="2"/>
        <v>0</v>
      </c>
      <c r="X22" s="26"/>
      <c r="Y22" s="55"/>
      <c r="Z22" s="27"/>
      <c r="AB22" s="137"/>
      <c r="AE22" s="137"/>
    </row>
    <row r="23" spans="1:31">
      <c r="A23" s="170"/>
      <c r="B23" s="194"/>
      <c r="C23" s="19"/>
      <c r="D23" s="20"/>
      <c r="E23" s="20"/>
      <c r="F23" s="21"/>
      <c r="G23" s="21"/>
      <c r="H23" s="17">
        <f t="shared" si="0"/>
        <v>0</v>
      </c>
      <c r="I23" s="33"/>
      <c r="J23" s="23"/>
      <c r="K23" s="21"/>
      <c r="L23" s="24"/>
      <c r="M23" s="23"/>
      <c r="N23" s="21"/>
      <c r="O23" s="24"/>
      <c r="P23" s="23"/>
      <c r="Q23" s="21"/>
      <c r="R23" s="24"/>
      <c r="S23" s="23"/>
      <c r="T23" s="21"/>
      <c r="U23" s="24"/>
      <c r="V23" s="25">
        <f t="shared" si="1"/>
        <v>0</v>
      </c>
      <c r="W23" s="17">
        <f t="shared" si="2"/>
        <v>0</v>
      </c>
      <c r="X23" s="26"/>
      <c r="Y23" s="55"/>
      <c r="Z23" s="27"/>
      <c r="AB23" s="137"/>
      <c r="AE23" s="137"/>
    </row>
    <row r="24" spans="1:31">
      <c r="A24" s="170"/>
      <c r="B24" s="194"/>
      <c r="C24" s="19"/>
      <c r="D24" s="20"/>
      <c r="E24" s="20"/>
      <c r="F24" s="21"/>
      <c r="G24" s="21"/>
      <c r="H24" s="17">
        <f t="shared" si="0"/>
        <v>0</v>
      </c>
      <c r="I24" s="32"/>
      <c r="J24" s="23"/>
      <c r="K24" s="21"/>
      <c r="L24" s="24"/>
      <c r="M24" s="23"/>
      <c r="N24" s="21"/>
      <c r="O24" s="24"/>
      <c r="P24" s="23"/>
      <c r="Q24" s="21"/>
      <c r="R24" s="24"/>
      <c r="S24" s="23"/>
      <c r="T24" s="21"/>
      <c r="U24" s="24"/>
      <c r="V24" s="25">
        <f t="shared" si="1"/>
        <v>0</v>
      </c>
      <c r="W24" s="17">
        <f t="shared" si="2"/>
        <v>0</v>
      </c>
      <c r="X24" s="26"/>
      <c r="Y24" s="55"/>
      <c r="Z24" s="27"/>
      <c r="AB24" s="137"/>
      <c r="AE24" s="137"/>
    </row>
    <row r="25" spans="1:31">
      <c r="A25" s="170"/>
      <c r="B25" s="194"/>
      <c r="C25" s="19"/>
      <c r="D25" s="20"/>
      <c r="E25" s="20"/>
      <c r="F25" s="21"/>
      <c r="G25" s="21"/>
      <c r="H25" s="17">
        <f t="shared" si="0"/>
        <v>0</v>
      </c>
      <c r="I25" s="29"/>
      <c r="J25" s="23"/>
      <c r="K25" s="21"/>
      <c r="L25" s="24"/>
      <c r="M25" s="23"/>
      <c r="N25" s="21"/>
      <c r="O25" s="24"/>
      <c r="P25" s="23"/>
      <c r="Q25" s="21"/>
      <c r="R25" s="24"/>
      <c r="S25" s="23"/>
      <c r="T25" s="21"/>
      <c r="U25" s="24"/>
      <c r="V25" s="25">
        <f t="shared" si="1"/>
        <v>0</v>
      </c>
      <c r="W25" s="17">
        <f t="shared" si="2"/>
        <v>0</v>
      </c>
      <c r="X25" s="26"/>
      <c r="Y25" s="55"/>
      <c r="Z25" s="27"/>
      <c r="AB25" s="137"/>
      <c r="AE25" s="137"/>
    </row>
    <row r="26" spans="1:31" ht="33.75" customHeight="1">
      <c r="A26" s="170"/>
      <c r="B26" s="190"/>
      <c r="C26" s="19"/>
      <c r="D26" s="20"/>
      <c r="E26" s="20"/>
      <c r="F26" s="21"/>
      <c r="G26" s="21"/>
      <c r="H26" s="17">
        <f t="shared" si="0"/>
        <v>0</v>
      </c>
      <c r="I26" s="22"/>
      <c r="J26" s="23"/>
      <c r="K26" s="21"/>
      <c r="L26" s="24"/>
      <c r="M26" s="23"/>
      <c r="N26" s="21"/>
      <c r="O26" s="24"/>
      <c r="P26" s="23"/>
      <c r="Q26" s="21"/>
      <c r="R26" s="24"/>
      <c r="S26" s="23"/>
      <c r="T26" s="21"/>
      <c r="U26" s="24"/>
      <c r="V26" s="25">
        <f t="shared" si="1"/>
        <v>0</v>
      </c>
      <c r="W26" s="17">
        <f t="shared" si="2"/>
        <v>0</v>
      </c>
      <c r="X26" s="26"/>
      <c r="Y26" s="55"/>
      <c r="Z26" s="27"/>
      <c r="AB26" s="137"/>
      <c r="AE26" s="137"/>
    </row>
    <row r="27" spans="1:31">
      <c r="A27" s="171"/>
      <c r="B27" s="28"/>
      <c r="C27" s="56"/>
      <c r="D27" s="20"/>
      <c r="E27" s="20"/>
      <c r="F27" s="21"/>
      <c r="G27" s="21"/>
      <c r="H27" s="17">
        <f t="shared" si="0"/>
        <v>0</v>
      </c>
      <c r="I27" s="22"/>
      <c r="J27" s="23"/>
      <c r="K27" s="21"/>
      <c r="L27" s="24"/>
      <c r="M27" s="23"/>
      <c r="N27" s="21"/>
      <c r="O27" s="24"/>
      <c r="P27" s="23"/>
      <c r="Q27" s="21"/>
      <c r="R27" s="24"/>
      <c r="S27" s="23"/>
      <c r="T27" s="21"/>
      <c r="U27" s="24"/>
      <c r="V27" s="25">
        <f t="shared" si="1"/>
        <v>0</v>
      </c>
      <c r="W27" s="17">
        <f t="shared" si="2"/>
        <v>0</v>
      </c>
      <c r="X27" s="26"/>
      <c r="Y27" s="55"/>
      <c r="Z27" s="27"/>
      <c r="AB27" s="137"/>
      <c r="AE27" s="137"/>
    </row>
    <row r="28" spans="1:31" ht="25.5" customHeight="1">
      <c r="A28" s="58"/>
      <c r="B28" s="18" t="s">
        <v>110</v>
      </c>
      <c r="C28" s="19" t="s">
        <v>111</v>
      </c>
      <c r="D28" s="20" t="s">
        <v>112</v>
      </c>
      <c r="E28" s="20" t="s">
        <v>113</v>
      </c>
      <c r="F28" s="21">
        <v>5</v>
      </c>
      <c r="G28" s="21">
        <v>3</v>
      </c>
      <c r="H28" s="17">
        <f t="shared" si="0"/>
        <v>15</v>
      </c>
      <c r="I28" s="26"/>
      <c r="J28" s="23"/>
      <c r="K28" s="21"/>
      <c r="L28" s="24"/>
      <c r="M28" s="23"/>
      <c r="N28" s="21"/>
      <c r="O28" s="24"/>
      <c r="P28" s="23"/>
      <c r="Q28" s="21"/>
      <c r="R28" s="24"/>
      <c r="S28" s="23"/>
      <c r="T28" s="21"/>
      <c r="U28" s="24"/>
      <c r="V28" s="25">
        <f t="shared" si="1"/>
        <v>0</v>
      </c>
      <c r="W28" s="17">
        <f t="shared" si="2"/>
        <v>0</v>
      </c>
      <c r="X28" s="36"/>
      <c r="Y28" s="51"/>
      <c r="Z28" s="52"/>
      <c r="AB28" s="137"/>
      <c r="AE28" s="137"/>
    </row>
    <row r="29" spans="1:31" ht="25.5" customHeight="1">
      <c r="A29" s="191" t="s">
        <v>114</v>
      </c>
      <c r="B29" s="189" t="s">
        <v>115</v>
      </c>
      <c r="C29" s="57" t="s">
        <v>116</v>
      </c>
      <c r="D29" s="20" t="s">
        <v>117</v>
      </c>
      <c r="E29" s="20" t="s">
        <v>118</v>
      </c>
      <c r="F29" s="21">
        <v>4</v>
      </c>
      <c r="G29" s="21">
        <v>2</v>
      </c>
      <c r="H29" s="17">
        <f t="shared" si="0"/>
        <v>8</v>
      </c>
      <c r="I29" s="22"/>
      <c r="J29" s="23"/>
      <c r="K29" s="21"/>
      <c r="L29" s="24"/>
      <c r="M29" s="23"/>
      <c r="N29" s="21"/>
      <c r="O29" s="24"/>
      <c r="P29" s="23"/>
      <c r="Q29" s="21"/>
      <c r="R29" s="24"/>
      <c r="S29" s="23"/>
      <c r="T29" s="21"/>
      <c r="U29" s="24"/>
      <c r="V29" s="25">
        <f t="shared" si="1"/>
        <v>0</v>
      </c>
      <c r="W29" s="17">
        <f t="shared" si="2"/>
        <v>0</v>
      </c>
      <c r="X29" s="26"/>
      <c r="Y29" s="55"/>
      <c r="Z29" s="27"/>
      <c r="AB29" s="137"/>
      <c r="AE29" s="137"/>
    </row>
    <row r="30" spans="1:31" ht="38.25" customHeight="1">
      <c r="A30" s="170"/>
      <c r="B30" s="194"/>
      <c r="C30" s="57" t="s">
        <v>119</v>
      </c>
      <c r="D30" s="20" t="s">
        <v>120</v>
      </c>
      <c r="E30" s="20" t="s">
        <v>121</v>
      </c>
      <c r="F30" s="21">
        <v>4</v>
      </c>
      <c r="G30" s="21">
        <v>2</v>
      </c>
      <c r="H30" s="17">
        <f t="shared" si="0"/>
        <v>8</v>
      </c>
      <c r="I30" s="22"/>
      <c r="J30" s="23"/>
      <c r="K30" s="21"/>
      <c r="L30" s="24"/>
      <c r="M30" s="23"/>
      <c r="N30" s="21"/>
      <c r="O30" s="24"/>
      <c r="P30" s="23"/>
      <c r="Q30" s="21"/>
      <c r="R30" s="24"/>
      <c r="S30" s="23"/>
      <c r="T30" s="21"/>
      <c r="U30" s="24"/>
      <c r="V30" s="25">
        <f t="shared" si="1"/>
        <v>0</v>
      </c>
      <c r="W30" s="17">
        <f t="shared" si="2"/>
        <v>0</v>
      </c>
      <c r="X30" s="26"/>
      <c r="Y30" s="55"/>
      <c r="Z30" s="27"/>
      <c r="AB30" s="137"/>
      <c r="AE30" s="137"/>
    </row>
    <row r="31" spans="1:31" ht="25.5" customHeight="1">
      <c r="A31" s="170"/>
      <c r="B31" s="190"/>
      <c r="C31" s="20" t="s">
        <v>122</v>
      </c>
      <c r="D31" s="20" t="s">
        <v>123</v>
      </c>
      <c r="E31" s="20" t="s">
        <v>118</v>
      </c>
      <c r="F31" s="21">
        <v>5</v>
      </c>
      <c r="G31" s="21">
        <v>2</v>
      </c>
      <c r="H31" s="17">
        <f t="shared" si="0"/>
        <v>10</v>
      </c>
      <c r="I31" s="26"/>
      <c r="J31" s="23"/>
      <c r="K31" s="21"/>
      <c r="L31" s="24"/>
      <c r="M31" s="23"/>
      <c r="N31" s="21"/>
      <c r="O31" s="24"/>
      <c r="P31" s="23"/>
      <c r="Q31" s="21"/>
      <c r="R31" s="24"/>
      <c r="S31" s="23"/>
      <c r="T31" s="21"/>
      <c r="U31" s="24"/>
      <c r="V31" s="25">
        <f t="shared" si="1"/>
        <v>0</v>
      </c>
      <c r="W31" s="17">
        <f t="shared" si="2"/>
        <v>0</v>
      </c>
      <c r="X31" s="26"/>
      <c r="Y31" s="55"/>
      <c r="Z31" s="27"/>
      <c r="AB31" s="137"/>
      <c r="AE31" s="137"/>
    </row>
    <row r="32" spans="1:31" ht="25.5" customHeight="1">
      <c r="A32" s="170"/>
      <c r="B32" s="20" t="s">
        <v>124</v>
      </c>
      <c r="C32" s="19" t="s">
        <v>125</v>
      </c>
      <c r="D32" s="20" t="s">
        <v>126</v>
      </c>
      <c r="E32" s="20" t="s">
        <v>127</v>
      </c>
      <c r="F32" s="21">
        <v>5</v>
      </c>
      <c r="G32" s="21">
        <v>2</v>
      </c>
      <c r="H32" s="17">
        <f t="shared" si="0"/>
        <v>10</v>
      </c>
      <c r="I32" s="26"/>
      <c r="J32" s="23"/>
      <c r="K32" s="21"/>
      <c r="L32" s="24"/>
      <c r="M32" s="23"/>
      <c r="N32" s="21"/>
      <c r="O32" s="24"/>
      <c r="P32" s="23"/>
      <c r="Q32" s="21"/>
      <c r="R32" s="24"/>
      <c r="S32" s="23"/>
      <c r="T32" s="21"/>
      <c r="U32" s="24"/>
      <c r="V32" s="25">
        <f t="shared" si="1"/>
        <v>0</v>
      </c>
      <c r="W32" s="17">
        <f t="shared" si="2"/>
        <v>0</v>
      </c>
      <c r="X32" s="26"/>
      <c r="Y32" s="55"/>
      <c r="Z32" s="27"/>
      <c r="AB32" s="137"/>
      <c r="AE32" s="137"/>
    </row>
    <row r="33" spans="1:31">
      <c r="A33" s="183" t="s">
        <v>128</v>
      </c>
      <c r="B33" s="189" t="s">
        <v>118</v>
      </c>
      <c r="C33" s="19" t="s">
        <v>129</v>
      </c>
      <c r="D33" s="19" t="s">
        <v>130</v>
      </c>
      <c r="E33" s="178" t="s">
        <v>131</v>
      </c>
      <c r="F33" s="21">
        <v>5</v>
      </c>
      <c r="G33" s="21">
        <v>2</v>
      </c>
      <c r="H33" s="48">
        <f t="shared" si="0"/>
        <v>10</v>
      </c>
      <c r="I33" s="26"/>
      <c r="J33" s="23"/>
      <c r="K33" s="21"/>
      <c r="L33" s="24"/>
      <c r="M33" s="23"/>
      <c r="N33" s="21"/>
      <c r="O33" s="24"/>
      <c r="P33" s="23"/>
      <c r="Q33" s="21"/>
      <c r="R33" s="24"/>
      <c r="S33" s="23"/>
      <c r="T33" s="21"/>
      <c r="U33" s="24"/>
      <c r="V33" s="25">
        <f t="shared" si="1"/>
        <v>0</v>
      </c>
      <c r="W33" s="17">
        <f t="shared" si="2"/>
        <v>0</v>
      </c>
      <c r="X33" s="26"/>
      <c r="Y33" s="55"/>
      <c r="Z33" s="27"/>
      <c r="AB33" s="137"/>
      <c r="AE33" s="137"/>
    </row>
    <row r="34" spans="1:31" ht="25.5" customHeight="1">
      <c r="A34" s="170"/>
      <c r="B34" s="190"/>
      <c r="C34" s="19" t="s">
        <v>132</v>
      </c>
      <c r="D34" s="20" t="s">
        <v>133</v>
      </c>
      <c r="E34" s="179"/>
      <c r="F34" s="21">
        <v>4</v>
      </c>
      <c r="G34" s="21">
        <v>2</v>
      </c>
      <c r="H34" s="48">
        <f t="shared" si="0"/>
        <v>8</v>
      </c>
      <c r="I34" s="26"/>
      <c r="J34" s="23"/>
      <c r="K34" s="21"/>
      <c r="L34" s="24"/>
      <c r="M34" s="23"/>
      <c r="N34" s="21"/>
      <c r="O34" s="24"/>
      <c r="P34" s="23"/>
      <c r="Q34" s="21"/>
      <c r="R34" s="24"/>
      <c r="S34" s="23"/>
      <c r="T34" s="21"/>
      <c r="U34" s="24"/>
      <c r="V34" s="25">
        <f t="shared" si="1"/>
        <v>0</v>
      </c>
      <c r="W34" s="17">
        <f t="shared" si="2"/>
        <v>0</v>
      </c>
      <c r="X34" s="26"/>
      <c r="Y34" s="55"/>
      <c r="Z34" s="27"/>
      <c r="AB34" s="137"/>
      <c r="AE34" s="137"/>
    </row>
    <row r="35" spans="1:31">
      <c r="A35" s="170"/>
      <c r="B35" s="18" t="s">
        <v>134</v>
      </c>
      <c r="C35" s="19" t="s">
        <v>135</v>
      </c>
      <c r="D35" s="20" t="s">
        <v>136</v>
      </c>
      <c r="E35" s="31" t="s">
        <v>131</v>
      </c>
      <c r="F35" s="21">
        <v>5</v>
      </c>
      <c r="G35" s="21">
        <v>2</v>
      </c>
      <c r="H35" s="48">
        <f t="shared" si="0"/>
        <v>10</v>
      </c>
      <c r="I35" s="22"/>
      <c r="J35" s="23"/>
      <c r="K35" s="21"/>
      <c r="L35" s="24"/>
      <c r="M35" s="23"/>
      <c r="N35" s="21"/>
      <c r="O35" s="24"/>
      <c r="P35" s="23"/>
      <c r="Q35" s="21"/>
      <c r="R35" s="24"/>
      <c r="S35" s="23"/>
      <c r="T35" s="21"/>
      <c r="U35" s="24"/>
      <c r="V35" s="25">
        <f t="shared" si="1"/>
        <v>0</v>
      </c>
      <c r="W35" s="17">
        <f t="shared" si="2"/>
        <v>0</v>
      </c>
      <c r="X35" s="26"/>
      <c r="Y35" s="26"/>
      <c r="Z35" s="27"/>
      <c r="AB35" s="137"/>
      <c r="AE35" s="137"/>
    </row>
    <row r="36" spans="1:31" ht="25.5" customHeight="1">
      <c r="A36" s="170"/>
      <c r="B36" s="28" t="s">
        <v>124</v>
      </c>
      <c r="C36" s="19" t="s">
        <v>125</v>
      </c>
      <c r="D36" s="20" t="s">
        <v>126</v>
      </c>
      <c r="E36" s="20" t="s">
        <v>127</v>
      </c>
      <c r="F36" s="21">
        <v>5</v>
      </c>
      <c r="G36" s="21">
        <v>2</v>
      </c>
      <c r="H36" s="17">
        <f t="shared" si="0"/>
        <v>10</v>
      </c>
      <c r="I36" s="26"/>
      <c r="J36" s="23"/>
      <c r="K36" s="21"/>
      <c r="L36" s="24"/>
      <c r="M36" s="23"/>
      <c r="N36" s="21"/>
      <c r="O36" s="24"/>
      <c r="P36" s="23"/>
      <c r="Q36" s="21"/>
      <c r="R36" s="24"/>
      <c r="S36" s="23"/>
      <c r="T36" s="21"/>
      <c r="U36" s="24"/>
      <c r="V36" s="25">
        <f t="shared" si="1"/>
        <v>0</v>
      </c>
      <c r="W36" s="17">
        <f t="shared" si="2"/>
        <v>0</v>
      </c>
      <c r="X36" s="26"/>
      <c r="Y36" s="55"/>
      <c r="Z36" s="27"/>
      <c r="AB36" s="137"/>
      <c r="AE36" s="137"/>
    </row>
    <row r="37" spans="1:31" ht="25.5" customHeight="1">
      <c r="A37" s="170"/>
      <c r="B37" s="28" t="s">
        <v>137</v>
      </c>
      <c r="C37" s="19" t="s">
        <v>138</v>
      </c>
      <c r="D37" s="20" t="s">
        <v>139</v>
      </c>
      <c r="E37" s="20" t="s">
        <v>140</v>
      </c>
      <c r="F37" s="21">
        <v>3</v>
      </c>
      <c r="G37" s="21">
        <v>3</v>
      </c>
      <c r="H37" s="17">
        <f t="shared" si="0"/>
        <v>9</v>
      </c>
      <c r="I37" s="26"/>
      <c r="J37" s="23"/>
      <c r="K37" s="21"/>
      <c r="L37" s="24"/>
      <c r="M37" s="23"/>
      <c r="N37" s="21"/>
      <c r="O37" s="24"/>
      <c r="P37" s="23"/>
      <c r="Q37" s="21"/>
      <c r="R37" s="24"/>
      <c r="S37" s="23"/>
      <c r="T37" s="21"/>
      <c r="U37" s="24"/>
      <c r="V37" s="25">
        <f t="shared" si="1"/>
        <v>0</v>
      </c>
      <c r="W37" s="17">
        <f t="shared" si="2"/>
        <v>0</v>
      </c>
      <c r="X37" s="26"/>
      <c r="Y37" s="55"/>
      <c r="Z37" s="27"/>
      <c r="AB37" s="137"/>
      <c r="AE37" s="137"/>
    </row>
    <row r="38" spans="1:31" ht="38.25" customHeight="1">
      <c r="A38" s="170"/>
      <c r="B38" s="28" t="s">
        <v>141</v>
      </c>
      <c r="C38" s="19" t="s">
        <v>142</v>
      </c>
      <c r="D38" s="20" t="s">
        <v>143</v>
      </c>
      <c r="E38" s="20" t="s">
        <v>131</v>
      </c>
      <c r="F38" s="21">
        <v>3</v>
      </c>
      <c r="G38" s="21">
        <v>2</v>
      </c>
      <c r="H38" s="17">
        <f t="shared" ref="H38:H69" si="3">F38*G38</f>
        <v>6</v>
      </c>
      <c r="I38" s="26"/>
      <c r="J38" s="23"/>
      <c r="K38" s="21"/>
      <c r="L38" s="24"/>
      <c r="M38" s="23"/>
      <c r="N38" s="21"/>
      <c r="O38" s="24"/>
      <c r="P38" s="23"/>
      <c r="Q38" s="21"/>
      <c r="R38" s="24"/>
      <c r="S38" s="23"/>
      <c r="T38" s="21"/>
      <c r="U38" s="24"/>
      <c r="V38" s="25">
        <f t="shared" ref="V38:V69" si="4">SUM(J38:L38)*SUM(M38:O38)*SUM(P38:R38)*SUM(S38:U38)/4</f>
        <v>0</v>
      </c>
      <c r="W38" s="17">
        <f t="shared" ref="W38:W69" si="5">IFERROR(H38/V38,0)</f>
        <v>0</v>
      </c>
      <c r="X38" s="26"/>
      <c r="Y38" s="55"/>
      <c r="Z38" s="27"/>
      <c r="AB38" s="137"/>
      <c r="AE38" s="137"/>
    </row>
    <row r="39" spans="1:31" ht="25.5" customHeight="1">
      <c r="A39" s="171"/>
      <c r="B39" s="18" t="s">
        <v>144</v>
      </c>
      <c r="C39" s="19" t="s">
        <v>145</v>
      </c>
      <c r="D39" s="20" t="s">
        <v>146</v>
      </c>
      <c r="E39" s="20" t="s">
        <v>147</v>
      </c>
      <c r="F39" s="21">
        <v>4</v>
      </c>
      <c r="G39" s="21">
        <v>2</v>
      </c>
      <c r="H39" s="17">
        <f t="shared" si="3"/>
        <v>8</v>
      </c>
      <c r="I39" s="22"/>
      <c r="J39" s="23"/>
      <c r="K39" s="21"/>
      <c r="L39" s="24"/>
      <c r="M39" s="23"/>
      <c r="N39" s="21"/>
      <c r="O39" s="24"/>
      <c r="P39" s="23"/>
      <c r="Q39" s="21"/>
      <c r="R39" s="24"/>
      <c r="S39" s="23"/>
      <c r="T39" s="21"/>
      <c r="U39" s="24"/>
      <c r="V39" s="25">
        <f t="shared" si="4"/>
        <v>0</v>
      </c>
      <c r="W39" s="17">
        <f t="shared" si="5"/>
        <v>0</v>
      </c>
      <c r="X39" s="26"/>
      <c r="Y39" s="55"/>
      <c r="Z39" s="27"/>
      <c r="AB39" s="137"/>
      <c r="AE39" s="137"/>
    </row>
    <row r="40" spans="1:31" ht="33.75" customHeight="1">
      <c r="A40" s="37"/>
      <c r="B40" s="18"/>
      <c r="C40" s="19"/>
      <c r="D40" s="20"/>
      <c r="E40" s="20"/>
      <c r="F40" s="21"/>
      <c r="G40" s="21"/>
      <c r="H40" s="17">
        <f t="shared" si="3"/>
        <v>0</v>
      </c>
      <c r="I40" s="29"/>
      <c r="J40" s="23"/>
      <c r="K40" s="21"/>
      <c r="L40" s="24"/>
      <c r="M40" s="23"/>
      <c r="N40" s="21"/>
      <c r="O40" s="24"/>
      <c r="P40" s="23"/>
      <c r="Q40" s="21"/>
      <c r="R40" s="24"/>
      <c r="S40" s="23"/>
      <c r="T40" s="21"/>
      <c r="U40" s="24"/>
      <c r="V40" s="25">
        <f t="shared" si="4"/>
        <v>0</v>
      </c>
      <c r="W40" s="17">
        <f t="shared" si="5"/>
        <v>0</v>
      </c>
      <c r="X40" s="26"/>
      <c r="Y40" s="26"/>
      <c r="Z40" s="27"/>
      <c r="AB40" s="137"/>
      <c r="AE40" s="137"/>
    </row>
    <row r="41" spans="1:31" ht="33.75" customHeight="1">
      <c r="A41" s="37"/>
      <c r="B41" s="35"/>
      <c r="C41" s="19"/>
      <c r="D41" s="20"/>
      <c r="E41" s="20"/>
      <c r="F41" s="21"/>
      <c r="G41" s="21"/>
      <c r="H41" s="17">
        <f t="shared" si="3"/>
        <v>0</v>
      </c>
      <c r="I41" s="22"/>
      <c r="J41" s="23"/>
      <c r="K41" s="21"/>
      <c r="L41" s="24"/>
      <c r="M41" s="23"/>
      <c r="N41" s="21"/>
      <c r="O41" s="24"/>
      <c r="P41" s="23"/>
      <c r="Q41" s="21"/>
      <c r="R41" s="24"/>
      <c r="S41" s="23"/>
      <c r="T41" s="21"/>
      <c r="U41" s="24"/>
      <c r="V41" s="25">
        <f t="shared" si="4"/>
        <v>0</v>
      </c>
      <c r="W41" s="17">
        <f t="shared" si="5"/>
        <v>0</v>
      </c>
      <c r="X41" s="26"/>
      <c r="Y41" s="26"/>
      <c r="Z41" s="27"/>
      <c r="AB41" s="137"/>
      <c r="AE41" s="137"/>
    </row>
    <row r="42" spans="1:31" ht="33.75" customHeight="1">
      <c r="A42" s="37"/>
      <c r="B42" s="30"/>
      <c r="C42" s="19"/>
      <c r="D42" s="20"/>
      <c r="E42" s="20"/>
      <c r="F42" s="21"/>
      <c r="G42" s="21"/>
      <c r="H42" s="17">
        <f t="shared" si="3"/>
        <v>0</v>
      </c>
      <c r="I42" s="22"/>
      <c r="J42" s="23"/>
      <c r="K42" s="21"/>
      <c r="L42" s="24"/>
      <c r="M42" s="23"/>
      <c r="N42" s="21"/>
      <c r="O42" s="24"/>
      <c r="P42" s="23"/>
      <c r="Q42" s="21"/>
      <c r="R42" s="24"/>
      <c r="S42" s="23"/>
      <c r="T42" s="21"/>
      <c r="U42" s="24"/>
      <c r="V42" s="25">
        <f t="shared" si="4"/>
        <v>0</v>
      </c>
      <c r="W42" s="17">
        <f t="shared" si="5"/>
        <v>0</v>
      </c>
      <c r="X42" s="26"/>
      <c r="Y42" s="26"/>
      <c r="Z42" s="27"/>
      <c r="AB42" s="137"/>
      <c r="AE42" s="137"/>
    </row>
    <row r="43" spans="1:31" ht="33.75" customHeight="1">
      <c r="A43" s="37"/>
      <c r="B43" s="28"/>
      <c r="C43" s="19"/>
      <c r="D43" s="20"/>
      <c r="E43" s="20"/>
      <c r="F43" s="21"/>
      <c r="G43" s="21"/>
      <c r="H43" s="17">
        <f t="shared" si="3"/>
        <v>0</v>
      </c>
      <c r="I43" s="22"/>
      <c r="J43" s="23"/>
      <c r="K43" s="21"/>
      <c r="L43" s="24"/>
      <c r="M43" s="23"/>
      <c r="N43" s="21"/>
      <c r="O43" s="24"/>
      <c r="P43" s="23"/>
      <c r="Q43" s="21"/>
      <c r="R43" s="24"/>
      <c r="S43" s="23"/>
      <c r="T43" s="21"/>
      <c r="U43" s="24"/>
      <c r="V43" s="25">
        <f t="shared" si="4"/>
        <v>0</v>
      </c>
      <c r="W43" s="17">
        <f t="shared" si="5"/>
        <v>0</v>
      </c>
      <c r="X43" s="26"/>
      <c r="Y43" s="26"/>
      <c r="Z43" s="27"/>
      <c r="AB43" s="137"/>
      <c r="AE43" s="137"/>
    </row>
    <row r="44" spans="1:31" ht="33.75" customHeight="1">
      <c r="A44" s="37"/>
      <c r="B44" s="18"/>
      <c r="C44" s="19"/>
      <c r="D44" s="20"/>
      <c r="E44" s="20"/>
      <c r="F44" s="21"/>
      <c r="G44" s="21"/>
      <c r="H44" s="17">
        <f t="shared" si="3"/>
        <v>0</v>
      </c>
      <c r="I44" s="22"/>
      <c r="J44" s="23"/>
      <c r="K44" s="21"/>
      <c r="L44" s="24"/>
      <c r="M44" s="23"/>
      <c r="N44" s="21"/>
      <c r="O44" s="24"/>
      <c r="P44" s="23"/>
      <c r="Q44" s="21"/>
      <c r="R44" s="24"/>
      <c r="S44" s="23"/>
      <c r="T44" s="21"/>
      <c r="U44" s="24"/>
      <c r="V44" s="25">
        <f t="shared" si="4"/>
        <v>0</v>
      </c>
      <c r="W44" s="17">
        <f t="shared" si="5"/>
        <v>0</v>
      </c>
      <c r="X44" s="26"/>
      <c r="Y44" s="26"/>
      <c r="Z44" s="27"/>
      <c r="AB44" s="137"/>
      <c r="AE44" s="137"/>
    </row>
    <row r="45" spans="1:31" ht="33.75" customHeight="1">
      <c r="A45" s="37"/>
      <c r="B45" s="18"/>
      <c r="C45" s="19"/>
      <c r="D45" s="20"/>
      <c r="E45" s="20"/>
      <c r="F45" s="21"/>
      <c r="G45" s="21"/>
      <c r="H45" s="17">
        <f t="shared" si="3"/>
        <v>0</v>
      </c>
      <c r="I45" s="34"/>
      <c r="J45" s="23"/>
      <c r="K45" s="21"/>
      <c r="L45" s="24"/>
      <c r="M45" s="23"/>
      <c r="N45" s="21"/>
      <c r="O45" s="24"/>
      <c r="P45" s="23"/>
      <c r="Q45" s="21"/>
      <c r="R45" s="24"/>
      <c r="S45" s="23"/>
      <c r="T45" s="21"/>
      <c r="U45" s="24"/>
      <c r="V45" s="25">
        <f t="shared" si="4"/>
        <v>0</v>
      </c>
      <c r="W45" s="17">
        <f t="shared" si="5"/>
        <v>0</v>
      </c>
      <c r="X45" s="26"/>
      <c r="Y45" s="26"/>
      <c r="Z45" s="27"/>
      <c r="AB45" s="137"/>
      <c r="AE45" s="137"/>
    </row>
    <row r="46" spans="1:31" ht="33.75" customHeight="1">
      <c r="A46" s="37"/>
      <c r="B46" s="35"/>
      <c r="C46" s="19"/>
      <c r="D46" s="20"/>
      <c r="E46" s="20"/>
      <c r="F46" s="21"/>
      <c r="G46" s="21"/>
      <c r="H46" s="17">
        <f t="shared" si="3"/>
        <v>0</v>
      </c>
      <c r="I46" s="22"/>
      <c r="J46" s="23"/>
      <c r="K46" s="21"/>
      <c r="L46" s="24"/>
      <c r="M46" s="23"/>
      <c r="N46" s="21"/>
      <c r="O46" s="24"/>
      <c r="P46" s="23"/>
      <c r="Q46" s="21"/>
      <c r="R46" s="24"/>
      <c r="S46" s="23"/>
      <c r="T46" s="21"/>
      <c r="U46" s="24"/>
      <c r="V46" s="25">
        <f t="shared" si="4"/>
        <v>0</v>
      </c>
      <c r="W46" s="17">
        <f t="shared" si="5"/>
        <v>0</v>
      </c>
      <c r="X46" s="26"/>
      <c r="Y46" s="26"/>
      <c r="Z46" s="27"/>
      <c r="AB46" s="137"/>
      <c r="AE46" s="137"/>
    </row>
    <row r="47" spans="1:31" ht="33.75" customHeight="1">
      <c r="A47" s="37"/>
      <c r="B47" s="28"/>
      <c r="C47" s="19"/>
      <c r="D47" s="20"/>
      <c r="E47" s="20"/>
      <c r="F47" s="21"/>
      <c r="G47" s="21"/>
      <c r="H47" s="17">
        <f t="shared" si="3"/>
        <v>0</v>
      </c>
      <c r="I47" s="22"/>
      <c r="J47" s="23"/>
      <c r="K47" s="21"/>
      <c r="L47" s="24"/>
      <c r="M47" s="23"/>
      <c r="N47" s="21"/>
      <c r="O47" s="24"/>
      <c r="P47" s="23"/>
      <c r="Q47" s="21"/>
      <c r="R47" s="24"/>
      <c r="S47" s="23"/>
      <c r="T47" s="21"/>
      <c r="U47" s="24"/>
      <c r="V47" s="25">
        <f t="shared" si="4"/>
        <v>0</v>
      </c>
      <c r="W47" s="17">
        <f t="shared" si="5"/>
        <v>0</v>
      </c>
      <c r="X47" s="26"/>
      <c r="Y47" s="26"/>
      <c r="Z47" s="27"/>
      <c r="AB47" s="137"/>
      <c r="AE47" s="137"/>
    </row>
    <row r="48" spans="1:31" ht="33.75" customHeight="1">
      <c r="A48" s="37"/>
      <c r="B48" s="35"/>
      <c r="C48" s="19"/>
      <c r="D48" s="20"/>
      <c r="E48" s="20"/>
      <c r="F48" s="21"/>
      <c r="G48" s="21"/>
      <c r="H48" s="17">
        <f t="shared" si="3"/>
        <v>0</v>
      </c>
      <c r="I48" s="22"/>
      <c r="J48" s="23"/>
      <c r="K48" s="21"/>
      <c r="L48" s="24"/>
      <c r="M48" s="23"/>
      <c r="N48" s="21"/>
      <c r="O48" s="24"/>
      <c r="P48" s="23"/>
      <c r="Q48" s="21"/>
      <c r="R48" s="24"/>
      <c r="S48" s="23"/>
      <c r="T48" s="21"/>
      <c r="U48" s="24"/>
      <c r="V48" s="25">
        <f t="shared" si="4"/>
        <v>0</v>
      </c>
      <c r="W48" s="17">
        <f t="shared" si="5"/>
        <v>0</v>
      </c>
      <c r="X48" s="26"/>
      <c r="Y48" s="26"/>
      <c r="Z48" s="27"/>
      <c r="AB48" s="137"/>
      <c r="AE48" s="137"/>
    </row>
    <row r="49" spans="1:31" ht="33.75" customHeight="1">
      <c r="A49" s="37"/>
      <c r="B49" s="30"/>
      <c r="C49" s="19"/>
      <c r="D49" s="20"/>
      <c r="E49" s="20"/>
      <c r="F49" s="21"/>
      <c r="G49" s="21"/>
      <c r="H49" s="17">
        <f t="shared" si="3"/>
        <v>0</v>
      </c>
      <c r="I49" s="22"/>
      <c r="J49" s="23"/>
      <c r="K49" s="21"/>
      <c r="L49" s="24"/>
      <c r="M49" s="23"/>
      <c r="N49" s="21"/>
      <c r="O49" s="24"/>
      <c r="P49" s="23"/>
      <c r="Q49" s="21"/>
      <c r="R49" s="24"/>
      <c r="S49" s="23"/>
      <c r="T49" s="21"/>
      <c r="U49" s="24"/>
      <c r="V49" s="25">
        <f t="shared" si="4"/>
        <v>0</v>
      </c>
      <c r="W49" s="17">
        <f t="shared" si="5"/>
        <v>0</v>
      </c>
      <c r="X49" s="26"/>
      <c r="Y49" s="26"/>
      <c r="Z49" s="27"/>
      <c r="AB49" s="137"/>
      <c r="AE49" s="137"/>
    </row>
    <row r="50" spans="1:31" ht="33.75" customHeight="1">
      <c r="A50" s="37"/>
      <c r="B50" s="30"/>
      <c r="C50" s="19"/>
      <c r="D50" s="20"/>
      <c r="E50" s="20"/>
      <c r="F50" s="21"/>
      <c r="G50" s="21"/>
      <c r="H50" s="17">
        <f t="shared" si="3"/>
        <v>0</v>
      </c>
      <c r="I50" s="33"/>
      <c r="J50" s="23"/>
      <c r="K50" s="21"/>
      <c r="L50" s="24"/>
      <c r="M50" s="23"/>
      <c r="N50" s="21"/>
      <c r="O50" s="24"/>
      <c r="P50" s="23"/>
      <c r="Q50" s="21"/>
      <c r="R50" s="24"/>
      <c r="S50" s="23"/>
      <c r="T50" s="21"/>
      <c r="U50" s="24"/>
      <c r="V50" s="25">
        <f t="shared" si="4"/>
        <v>0</v>
      </c>
      <c r="W50" s="17">
        <f t="shared" si="5"/>
        <v>0</v>
      </c>
      <c r="X50" s="26"/>
      <c r="Y50" s="26"/>
      <c r="Z50" s="27"/>
      <c r="AB50" s="137"/>
      <c r="AE50" s="137"/>
    </row>
    <row r="51" spans="1:31" ht="33.75" customHeight="1">
      <c r="A51" s="37"/>
      <c r="B51" s="30"/>
      <c r="C51" s="19"/>
      <c r="D51" s="20"/>
      <c r="E51" s="20"/>
      <c r="F51" s="21"/>
      <c r="G51" s="21"/>
      <c r="H51" s="17">
        <f t="shared" si="3"/>
        <v>0</v>
      </c>
      <c r="I51" s="26"/>
      <c r="J51" s="23"/>
      <c r="K51" s="21"/>
      <c r="L51" s="24"/>
      <c r="M51" s="23"/>
      <c r="N51" s="21"/>
      <c r="O51" s="24"/>
      <c r="P51" s="23"/>
      <c r="Q51" s="21"/>
      <c r="R51" s="24"/>
      <c r="S51" s="23"/>
      <c r="T51" s="21"/>
      <c r="U51" s="24"/>
      <c r="V51" s="25">
        <f t="shared" si="4"/>
        <v>0</v>
      </c>
      <c r="W51" s="17">
        <f t="shared" si="5"/>
        <v>0</v>
      </c>
      <c r="X51" s="26"/>
      <c r="Y51" s="26"/>
      <c r="Z51" s="27"/>
      <c r="AB51" s="137"/>
      <c r="AE51" s="137"/>
    </row>
    <row r="52" spans="1:31" ht="33.75" customHeight="1">
      <c r="A52" s="37"/>
      <c r="B52" s="28"/>
      <c r="C52" s="19"/>
      <c r="D52" s="20"/>
      <c r="E52" s="20"/>
      <c r="F52" s="21"/>
      <c r="G52" s="21"/>
      <c r="H52" s="17">
        <f t="shared" si="3"/>
        <v>0</v>
      </c>
      <c r="I52" s="22"/>
      <c r="J52" s="23"/>
      <c r="K52" s="21"/>
      <c r="L52" s="24"/>
      <c r="M52" s="23"/>
      <c r="N52" s="21"/>
      <c r="O52" s="24"/>
      <c r="P52" s="23"/>
      <c r="Q52" s="21"/>
      <c r="R52" s="24"/>
      <c r="S52" s="23"/>
      <c r="T52" s="21"/>
      <c r="U52" s="24"/>
      <c r="V52" s="25">
        <f t="shared" si="4"/>
        <v>0</v>
      </c>
      <c r="W52" s="17">
        <f t="shared" si="5"/>
        <v>0</v>
      </c>
      <c r="X52" s="26"/>
      <c r="Y52" s="26"/>
      <c r="Z52" s="27"/>
      <c r="AB52" s="137"/>
      <c r="AE52" s="137"/>
    </row>
    <row r="53" spans="1:31" ht="33.75" customHeight="1">
      <c r="A53" s="37"/>
      <c r="B53" s="18"/>
      <c r="C53" s="19"/>
      <c r="D53" s="20"/>
      <c r="E53" s="20"/>
      <c r="F53" s="21"/>
      <c r="G53" s="21"/>
      <c r="H53" s="17">
        <f t="shared" si="3"/>
        <v>0</v>
      </c>
      <c r="I53" s="22"/>
      <c r="J53" s="23"/>
      <c r="K53" s="21"/>
      <c r="L53" s="24"/>
      <c r="M53" s="23"/>
      <c r="N53" s="21"/>
      <c r="O53" s="24"/>
      <c r="P53" s="23"/>
      <c r="Q53" s="21"/>
      <c r="R53" s="24"/>
      <c r="S53" s="23"/>
      <c r="T53" s="21"/>
      <c r="U53" s="24"/>
      <c r="V53" s="25">
        <f t="shared" si="4"/>
        <v>0</v>
      </c>
      <c r="W53" s="17">
        <f t="shared" si="5"/>
        <v>0</v>
      </c>
      <c r="X53" s="26"/>
      <c r="Y53" s="26"/>
      <c r="Z53" s="27"/>
      <c r="AB53" s="137"/>
      <c r="AE53" s="137"/>
    </row>
    <row r="54" spans="1:31" ht="33.75" customHeight="1">
      <c r="A54" s="37"/>
      <c r="B54" s="18"/>
      <c r="C54" s="19"/>
      <c r="D54" s="20"/>
      <c r="E54" s="20"/>
      <c r="F54" s="21"/>
      <c r="G54" s="21"/>
      <c r="H54" s="17">
        <f t="shared" si="3"/>
        <v>0</v>
      </c>
      <c r="I54" s="22"/>
      <c r="J54" s="23"/>
      <c r="K54" s="21"/>
      <c r="L54" s="24"/>
      <c r="M54" s="23"/>
      <c r="N54" s="21"/>
      <c r="O54" s="24"/>
      <c r="P54" s="23"/>
      <c r="Q54" s="21"/>
      <c r="R54" s="24"/>
      <c r="S54" s="23"/>
      <c r="T54" s="21"/>
      <c r="U54" s="24"/>
      <c r="V54" s="25">
        <f t="shared" si="4"/>
        <v>0</v>
      </c>
      <c r="W54" s="17">
        <f t="shared" si="5"/>
        <v>0</v>
      </c>
      <c r="X54" s="26"/>
      <c r="Y54" s="26"/>
      <c r="Z54" s="27"/>
      <c r="AB54" s="137"/>
      <c r="AE54" s="137"/>
    </row>
    <row r="55" spans="1:31" ht="33.75" customHeight="1">
      <c r="A55" s="37"/>
      <c r="B55" s="35"/>
      <c r="C55" s="19"/>
      <c r="D55" s="20"/>
      <c r="E55" s="20"/>
      <c r="F55" s="21"/>
      <c r="G55" s="21"/>
      <c r="H55" s="17">
        <f t="shared" si="3"/>
        <v>0</v>
      </c>
      <c r="I55" s="38"/>
      <c r="J55" s="23"/>
      <c r="K55" s="21"/>
      <c r="L55" s="24"/>
      <c r="M55" s="23"/>
      <c r="N55" s="21"/>
      <c r="O55" s="24"/>
      <c r="P55" s="23"/>
      <c r="Q55" s="21"/>
      <c r="R55" s="24"/>
      <c r="S55" s="23"/>
      <c r="T55" s="21"/>
      <c r="U55" s="24"/>
      <c r="V55" s="25">
        <f t="shared" si="4"/>
        <v>0</v>
      </c>
      <c r="W55" s="17">
        <f t="shared" si="5"/>
        <v>0</v>
      </c>
      <c r="X55" s="26"/>
      <c r="Y55" s="26"/>
      <c r="Z55" s="27"/>
      <c r="AB55" s="137"/>
      <c r="AE55" s="137"/>
    </row>
    <row r="56" spans="1:31" ht="33.75" customHeight="1">
      <c r="A56" s="37"/>
      <c r="B56" s="30"/>
      <c r="C56" s="19"/>
      <c r="D56" s="20"/>
      <c r="E56" s="20"/>
      <c r="F56" s="21"/>
      <c r="G56" s="21"/>
      <c r="H56" s="17">
        <f t="shared" si="3"/>
        <v>0</v>
      </c>
      <c r="I56" s="39"/>
      <c r="J56" s="23"/>
      <c r="K56" s="21"/>
      <c r="L56" s="24"/>
      <c r="M56" s="23"/>
      <c r="N56" s="21"/>
      <c r="O56" s="24"/>
      <c r="P56" s="23"/>
      <c r="Q56" s="21"/>
      <c r="R56" s="24"/>
      <c r="S56" s="23"/>
      <c r="T56" s="21"/>
      <c r="U56" s="24"/>
      <c r="V56" s="25">
        <f t="shared" si="4"/>
        <v>0</v>
      </c>
      <c r="W56" s="17">
        <f t="shared" si="5"/>
        <v>0</v>
      </c>
      <c r="X56" s="26"/>
      <c r="Y56" s="26"/>
      <c r="Z56" s="27"/>
      <c r="AB56" s="137"/>
      <c r="AE56" s="137"/>
    </row>
    <row r="57" spans="1:31" ht="33.75" customHeight="1">
      <c r="A57" s="37"/>
      <c r="B57" s="30"/>
      <c r="C57" s="19"/>
      <c r="D57" s="20"/>
      <c r="E57" s="20"/>
      <c r="F57" s="21"/>
      <c r="G57" s="21"/>
      <c r="H57" s="17">
        <f t="shared" si="3"/>
        <v>0</v>
      </c>
      <c r="I57" s="39"/>
      <c r="J57" s="23"/>
      <c r="K57" s="21"/>
      <c r="L57" s="24"/>
      <c r="M57" s="23"/>
      <c r="N57" s="21"/>
      <c r="O57" s="24"/>
      <c r="P57" s="23"/>
      <c r="Q57" s="21"/>
      <c r="R57" s="24"/>
      <c r="S57" s="23"/>
      <c r="T57" s="21"/>
      <c r="U57" s="24"/>
      <c r="V57" s="25">
        <f t="shared" si="4"/>
        <v>0</v>
      </c>
      <c r="W57" s="17">
        <f t="shared" si="5"/>
        <v>0</v>
      </c>
      <c r="X57" s="26"/>
      <c r="Y57" s="26"/>
      <c r="Z57" s="27"/>
      <c r="AB57" s="137"/>
      <c r="AE57" s="137"/>
    </row>
    <row r="58" spans="1:31" ht="33.75" customHeight="1">
      <c r="A58" s="37"/>
      <c r="B58" s="28"/>
      <c r="C58" s="19"/>
      <c r="D58" s="20"/>
      <c r="E58" s="20"/>
      <c r="F58" s="21"/>
      <c r="G58" s="21"/>
      <c r="H58" s="17">
        <f t="shared" si="3"/>
        <v>0</v>
      </c>
      <c r="I58" s="40"/>
      <c r="J58" s="23"/>
      <c r="K58" s="21"/>
      <c r="L58" s="24"/>
      <c r="M58" s="23"/>
      <c r="N58" s="21"/>
      <c r="O58" s="24"/>
      <c r="P58" s="23"/>
      <c r="Q58" s="21"/>
      <c r="R58" s="24"/>
      <c r="S58" s="23"/>
      <c r="T58" s="21"/>
      <c r="U58" s="24"/>
      <c r="V58" s="25">
        <f t="shared" si="4"/>
        <v>0</v>
      </c>
      <c r="W58" s="17">
        <f t="shared" si="5"/>
        <v>0</v>
      </c>
      <c r="X58" s="26"/>
      <c r="Y58" s="26"/>
      <c r="Z58" s="27"/>
      <c r="AB58" s="137"/>
      <c r="AE58" s="137"/>
    </row>
    <row r="59" spans="1:31" ht="33.75" customHeight="1">
      <c r="A59" s="37"/>
      <c r="B59" s="30"/>
      <c r="C59" s="19"/>
      <c r="D59" s="20"/>
      <c r="E59" s="20"/>
      <c r="F59" s="21"/>
      <c r="G59" s="21"/>
      <c r="H59" s="17">
        <f t="shared" si="3"/>
        <v>0</v>
      </c>
      <c r="I59" s="26"/>
      <c r="J59" s="23"/>
      <c r="K59" s="21"/>
      <c r="L59" s="24"/>
      <c r="M59" s="23"/>
      <c r="N59" s="21"/>
      <c r="O59" s="24"/>
      <c r="P59" s="23"/>
      <c r="Q59" s="21"/>
      <c r="R59" s="24"/>
      <c r="S59" s="23"/>
      <c r="T59" s="21"/>
      <c r="U59" s="24"/>
      <c r="V59" s="25">
        <f t="shared" si="4"/>
        <v>0</v>
      </c>
      <c r="W59" s="17">
        <f t="shared" si="5"/>
        <v>0</v>
      </c>
      <c r="X59" s="26"/>
      <c r="Y59" s="26"/>
      <c r="Z59" s="27"/>
      <c r="AB59" s="137"/>
      <c r="AE59" s="137"/>
    </row>
    <row r="60" spans="1:31" ht="33.75" customHeight="1">
      <c r="A60" s="37"/>
      <c r="B60" s="28"/>
      <c r="C60" s="19"/>
      <c r="D60" s="20"/>
      <c r="E60" s="20"/>
      <c r="F60" s="21"/>
      <c r="G60" s="21"/>
      <c r="H60" s="17">
        <f t="shared" si="3"/>
        <v>0</v>
      </c>
      <c r="I60" s="26"/>
      <c r="J60" s="23"/>
      <c r="K60" s="21"/>
      <c r="L60" s="24"/>
      <c r="M60" s="23"/>
      <c r="N60" s="21"/>
      <c r="O60" s="24"/>
      <c r="P60" s="23"/>
      <c r="Q60" s="21"/>
      <c r="R60" s="24"/>
      <c r="S60" s="23"/>
      <c r="T60" s="21"/>
      <c r="U60" s="24"/>
      <c r="V60" s="25">
        <f t="shared" si="4"/>
        <v>0</v>
      </c>
      <c r="W60" s="17">
        <f t="shared" si="5"/>
        <v>0</v>
      </c>
      <c r="X60" s="26"/>
      <c r="Y60" s="26"/>
      <c r="Z60" s="27"/>
      <c r="AB60" s="137"/>
      <c r="AE60" s="137"/>
    </row>
    <row r="61" spans="1:31" ht="33.75" customHeight="1">
      <c r="A61" s="37"/>
      <c r="B61" s="18"/>
      <c r="C61" s="19"/>
      <c r="D61" s="20"/>
      <c r="E61" s="20"/>
      <c r="F61" s="21"/>
      <c r="G61" s="21"/>
      <c r="H61" s="17">
        <f t="shared" si="3"/>
        <v>0</v>
      </c>
      <c r="I61" s="29"/>
      <c r="J61" s="23"/>
      <c r="K61" s="21"/>
      <c r="L61" s="24"/>
      <c r="M61" s="23"/>
      <c r="N61" s="21"/>
      <c r="O61" s="24"/>
      <c r="P61" s="23"/>
      <c r="Q61" s="21"/>
      <c r="R61" s="24"/>
      <c r="S61" s="23"/>
      <c r="T61" s="21"/>
      <c r="U61" s="24"/>
      <c r="V61" s="25">
        <f t="shared" si="4"/>
        <v>0</v>
      </c>
      <c r="W61" s="17">
        <f t="shared" si="5"/>
        <v>0</v>
      </c>
      <c r="X61" s="26"/>
      <c r="Y61" s="26"/>
      <c r="Z61" s="27"/>
      <c r="AB61" s="137"/>
      <c r="AE61" s="137"/>
    </row>
    <row r="62" spans="1:31" ht="33.75" customHeight="1">
      <c r="A62" s="37"/>
      <c r="B62" s="35"/>
      <c r="C62" s="19"/>
      <c r="D62" s="20"/>
      <c r="E62" s="20"/>
      <c r="F62" s="21"/>
      <c r="G62" s="21"/>
      <c r="H62" s="17">
        <f t="shared" si="3"/>
        <v>0</v>
      </c>
      <c r="I62" s="22"/>
      <c r="J62" s="23"/>
      <c r="K62" s="21"/>
      <c r="L62" s="24"/>
      <c r="M62" s="23"/>
      <c r="N62" s="21"/>
      <c r="O62" s="24"/>
      <c r="P62" s="23"/>
      <c r="Q62" s="21"/>
      <c r="R62" s="24"/>
      <c r="S62" s="23"/>
      <c r="T62" s="21"/>
      <c r="U62" s="24"/>
      <c r="V62" s="25">
        <f t="shared" si="4"/>
        <v>0</v>
      </c>
      <c r="W62" s="17">
        <f t="shared" si="5"/>
        <v>0</v>
      </c>
      <c r="X62" s="26"/>
      <c r="Y62" s="26"/>
      <c r="Z62" s="27"/>
      <c r="AB62" s="137"/>
      <c r="AE62" s="137"/>
    </row>
    <row r="63" spans="1:31" ht="33.75" customHeight="1">
      <c r="A63" s="37"/>
      <c r="B63" s="30"/>
      <c r="C63" s="19"/>
      <c r="D63" s="20"/>
      <c r="E63" s="20"/>
      <c r="F63" s="21"/>
      <c r="G63" s="21"/>
      <c r="H63" s="17">
        <f t="shared" si="3"/>
        <v>0</v>
      </c>
      <c r="I63" s="22"/>
      <c r="J63" s="23"/>
      <c r="K63" s="21"/>
      <c r="L63" s="24"/>
      <c r="M63" s="23"/>
      <c r="N63" s="21"/>
      <c r="O63" s="24"/>
      <c r="P63" s="23"/>
      <c r="Q63" s="21"/>
      <c r="R63" s="24"/>
      <c r="S63" s="23"/>
      <c r="T63" s="21"/>
      <c r="U63" s="24"/>
      <c r="V63" s="25">
        <f t="shared" si="4"/>
        <v>0</v>
      </c>
      <c r="W63" s="17">
        <f t="shared" si="5"/>
        <v>0</v>
      </c>
      <c r="X63" s="26"/>
      <c r="Y63" s="26"/>
      <c r="Z63" s="27"/>
      <c r="AB63" s="137"/>
      <c r="AE63" s="137"/>
    </row>
    <row r="64" spans="1:31" ht="33.75" customHeight="1">
      <c r="A64" s="37"/>
      <c r="B64" s="28"/>
      <c r="C64" s="19"/>
      <c r="D64" s="20"/>
      <c r="E64" s="20"/>
      <c r="F64" s="21"/>
      <c r="G64" s="21"/>
      <c r="H64" s="17">
        <f t="shared" si="3"/>
        <v>0</v>
      </c>
      <c r="I64" s="22"/>
      <c r="J64" s="23"/>
      <c r="K64" s="21"/>
      <c r="L64" s="24"/>
      <c r="M64" s="23"/>
      <c r="N64" s="21"/>
      <c r="O64" s="24"/>
      <c r="P64" s="23"/>
      <c r="Q64" s="21"/>
      <c r="R64" s="24"/>
      <c r="S64" s="23"/>
      <c r="T64" s="21"/>
      <c r="U64" s="24"/>
      <c r="V64" s="25">
        <f t="shared" si="4"/>
        <v>0</v>
      </c>
      <c r="W64" s="17">
        <f t="shared" si="5"/>
        <v>0</v>
      </c>
      <c r="X64" s="26"/>
      <c r="Y64" s="26"/>
      <c r="Z64" s="27"/>
      <c r="AB64" s="137"/>
      <c r="AE64" s="137"/>
    </row>
    <row r="65" spans="1:31" ht="33.75" customHeight="1">
      <c r="A65" s="37"/>
      <c r="B65" s="18"/>
      <c r="C65" s="19"/>
      <c r="D65" s="20"/>
      <c r="E65" s="20"/>
      <c r="F65" s="21"/>
      <c r="G65" s="21"/>
      <c r="H65" s="17">
        <f t="shared" si="3"/>
        <v>0</v>
      </c>
      <c r="I65" s="22"/>
      <c r="J65" s="23"/>
      <c r="K65" s="21"/>
      <c r="L65" s="24"/>
      <c r="M65" s="23"/>
      <c r="N65" s="21"/>
      <c r="O65" s="24"/>
      <c r="P65" s="23"/>
      <c r="Q65" s="21"/>
      <c r="R65" s="24"/>
      <c r="S65" s="23"/>
      <c r="T65" s="21"/>
      <c r="U65" s="24"/>
      <c r="V65" s="25">
        <f t="shared" si="4"/>
        <v>0</v>
      </c>
      <c r="W65" s="17">
        <f t="shared" si="5"/>
        <v>0</v>
      </c>
      <c r="X65" s="26"/>
      <c r="Y65" s="26"/>
      <c r="Z65" s="27"/>
      <c r="AB65" s="137"/>
      <c r="AE65" s="137"/>
    </row>
    <row r="66" spans="1:31" ht="33.75" customHeight="1">
      <c r="A66" s="37"/>
      <c r="B66" s="35"/>
      <c r="C66" s="19"/>
      <c r="D66" s="20"/>
      <c r="E66" s="20"/>
      <c r="F66" s="21"/>
      <c r="G66" s="21"/>
      <c r="H66" s="17">
        <f t="shared" si="3"/>
        <v>0</v>
      </c>
      <c r="I66" s="22"/>
      <c r="J66" s="23"/>
      <c r="K66" s="21"/>
      <c r="L66" s="24"/>
      <c r="M66" s="23"/>
      <c r="N66" s="21"/>
      <c r="O66" s="24"/>
      <c r="P66" s="23"/>
      <c r="Q66" s="21"/>
      <c r="R66" s="24"/>
      <c r="S66" s="23"/>
      <c r="T66" s="21"/>
      <c r="U66" s="24"/>
      <c r="V66" s="25">
        <f t="shared" si="4"/>
        <v>0</v>
      </c>
      <c r="W66" s="17">
        <f t="shared" si="5"/>
        <v>0</v>
      </c>
      <c r="X66" s="26"/>
      <c r="Y66" s="26"/>
      <c r="Z66" s="27"/>
      <c r="AB66" s="137"/>
      <c r="AE66" s="137"/>
    </row>
    <row r="67" spans="1:31" ht="33.75" customHeight="1">
      <c r="A67" s="37"/>
      <c r="B67" s="28"/>
      <c r="C67" s="19"/>
      <c r="D67" s="20"/>
      <c r="E67" s="20"/>
      <c r="F67" s="21"/>
      <c r="G67" s="21"/>
      <c r="H67" s="17">
        <f t="shared" si="3"/>
        <v>0</v>
      </c>
      <c r="I67" s="22"/>
      <c r="J67" s="23"/>
      <c r="K67" s="21"/>
      <c r="L67" s="24"/>
      <c r="M67" s="23"/>
      <c r="N67" s="21"/>
      <c r="O67" s="24"/>
      <c r="P67" s="23"/>
      <c r="Q67" s="21"/>
      <c r="R67" s="24"/>
      <c r="S67" s="23"/>
      <c r="T67" s="21"/>
      <c r="U67" s="24"/>
      <c r="V67" s="25">
        <f t="shared" si="4"/>
        <v>0</v>
      </c>
      <c r="W67" s="17">
        <f t="shared" si="5"/>
        <v>0</v>
      </c>
      <c r="X67" s="26"/>
      <c r="Y67" s="26"/>
      <c r="Z67" s="27"/>
      <c r="AB67" s="137"/>
      <c r="AE67" s="137"/>
    </row>
    <row r="68" spans="1:31" ht="33.75" customHeight="1">
      <c r="A68" s="37"/>
      <c r="B68" s="35"/>
      <c r="C68" s="19"/>
      <c r="D68" s="20"/>
      <c r="E68" s="20"/>
      <c r="F68" s="21"/>
      <c r="G68" s="21"/>
      <c r="H68" s="17">
        <f t="shared" si="3"/>
        <v>0</v>
      </c>
      <c r="I68" s="22"/>
      <c r="J68" s="23"/>
      <c r="K68" s="21"/>
      <c r="L68" s="24"/>
      <c r="M68" s="23"/>
      <c r="N68" s="21"/>
      <c r="O68" s="24"/>
      <c r="P68" s="23"/>
      <c r="Q68" s="21"/>
      <c r="R68" s="24"/>
      <c r="S68" s="23"/>
      <c r="T68" s="21"/>
      <c r="U68" s="24"/>
      <c r="V68" s="25">
        <f t="shared" si="4"/>
        <v>0</v>
      </c>
      <c r="W68" s="17">
        <f t="shared" si="5"/>
        <v>0</v>
      </c>
      <c r="X68" s="26"/>
      <c r="Y68" s="26"/>
      <c r="Z68" s="27"/>
      <c r="AB68" s="137"/>
      <c r="AE68" s="137"/>
    </row>
    <row r="69" spans="1:31" ht="33.75" customHeight="1">
      <c r="A69" s="37"/>
      <c r="B69" s="30"/>
      <c r="C69" s="19"/>
      <c r="D69" s="20"/>
      <c r="E69" s="20"/>
      <c r="F69" s="21"/>
      <c r="G69" s="21"/>
      <c r="H69" s="17">
        <f t="shared" si="3"/>
        <v>0</v>
      </c>
      <c r="I69" s="22"/>
      <c r="J69" s="23"/>
      <c r="K69" s="21"/>
      <c r="L69" s="24"/>
      <c r="M69" s="23"/>
      <c r="N69" s="21"/>
      <c r="O69" s="24"/>
      <c r="P69" s="23"/>
      <c r="Q69" s="21"/>
      <c r="R69" s="24"/>
      <c r="S69" s="23"/>
      <c r="T69" s="21"/>
      <c r="U69" s="24"/>
      <c r="V69" s="25">
        <f t="shared" si="4"/>
        <v>0</v>
      </c>
      <c r="W69" s="17">
        <f t="shared" si="5"/>
        <v>0</v>
      </c>
      <c r="X69" s="26"/>
      <c r="Y69" s="26"/>
      <c r="Z69" s="27"/>
      <c r="AB69" s="137"/>
      <c r="AE69" s="137"/>
    </row>
    <row r="70" spans="1:31" ht="33.75" customHeight="1">
      <c r="A70" s="37"/>
      <c r="B70" s="18"/>
      <c r="C70" s="19"/>
      <c r="D70" s="20"/>
      <c r="E70" s="20"/>
      <c r="F70" s="21"/>
      <c r="G70" s="21"/>
      <c r="H70" s="17">
        <f t="shared" ref="H70:H101" si="6">F70*G70</f>
        <v>0</v>
      </c>
      <c r="I70" s="22"/>
      <c r="J70" s="23"/>
      <c r="K70" s="21"/>
      <c r="L70" s="24"/>
      <c r="M70" s="23"/>
      <c r="N70" s="21"/>
      <c r="O70" s="24"/>
      <c r="P70" s="23"/>
      <c r="Q70" s="21"/>
      <c r="R70" s="24"/>
      <c r="S70" s="23"/>
      <c r="T70" s="21"/>
      <c r="U70" s="24"/>
      <c r="V70" s="25">
        <f t="shared" ref="V70:V101" si="7">SUM(J70:L70)*SUM(M70:O70)*SUM(P70:R70)*SUM(S70:U70)/4</f>
        <v>0</v>
      </c>
      <c r="W70" s="17">
        <f t="shared" ref="W70:W101" si="8">IFERROR(H70/V70,0)</f>
        <v>0</v>
      </c>
      <c r="X70" s="26"/>
      <c r="Y70" s="26"/>
      <c r="Z70" s="27"/>
      <c r="AB70" s="137"/>
      <c r="AE70" s="137"/>
    </row>
    <row r="71" spans="1:31" ht="33.75" customHeight="1">
      <c r="A71" s="37"/>
      <c r="B71" s="30"/>
      <c r="C71" s="19"/>
      <c r="D71" s="20"/>
      <c r="E71" s="20"/>
      <c r="F71" s="21"/>
      <c r="G71" s="21"/>
      <c r="H71" s="17">
        <f t="shared" si="6"/>
        <v>0</v>
      </c>
      <c r="I71" s="26"/>
      <c r="J71" s="23"/>
      <c r="K71" s="21"/>
      <c r="L71" s="24"/>
      <c r="M71" s="23"/>
      <c r="N71" s="21"/>
      <c r="O71" s="24"/>
      <c r="P71" s="23"/>
      <c r="Q71" s="21"/>
      <c r="R71" s="24"/>
      <c r="S71" s="23"/>
      <c r="T71" s="21"/>
      <c r="U71" s="24"/>
      <c r="V71" s="25">
        <f t="shared" si="7"/>
        <v>0</v>
      </c>
      <c r="W71" s="17">
        <f t="shared" si="8"/>
        <v>0</v>
      </c>
      <c r="X71" s="26"/>
      <c r="Y71" s="26"/>
      <c r="Z71" s="27"/>
      <c r="AB71" s="137"/>
      <c r="AE71" s="137"/>
    </row>
    <row r="72" spans="1:31" ht="33.75" customHeight="1">
      <c r="A72" s="37"/>
      <c r="B72" s="28"/>
      <c r="C72" s="19"/>
      <c r="D72" s="20"/>
      <c r="E72" s="20"/>
      <c r="F72" s="21"/>
      <c r="G72" s="21"/>
      <c r="H72" s="17">
        <f t="shared" si="6"/>
        <v>0</v>
      </c>
      <c r="I72" s="26"/>
      <c r="J72" s="23"/>
      <c r="K72" s="21"/>
      <c r="L72" s="24"/>
      <c r="M72" s="23"/>
      <c r="N72" s="21"/>
      <c r="O72" s="24"/>
      <c r="P72" s="23"/>
      <c r="Q72" s="21"/>
      <c r="R72" s="24"/>
      <c r="S72" s="23"/>
      <c r="T72" s="21"/>
      <c r="U72" s="24"/>
      <c r="V72" s="25">
        <f t="shared" si="7"/>
        <v>0</v>
      </c>
      <c r="W72" s="17">
        <f t="shared" si="8"/>
        <v>0</v>
      </c>
      <c r="X72" s="26"/>
      <c r="Y72" s="26"/>
      <c r="Z72" s="27"/>
      <c r="AB72" s="137"/>
      <c r="AE72" s="137"/>
    </row>
    <row r="73" spans="1:31" ht="33.75" customHeight="1">
      <c r="A73" s="37"/>
      <c r="B73" s="18"/>
      <c r="C73" s="19"/>
      <c r="D73" s="20"/>
      <c r="E73" s="20"/>
      <c r="F73" s="21"/>
      <c r="G73" s="21"/>
      <c r="H73" s="17">
        <f t="shared" si="6"/>
        <v>0</v>
      </c>
      <c r="I73" s="29"/>
      <c r="J73" s="23"/>
      <c r="K73" s="21"/>
      <c r="L73" s="24"/>
      <c r="M73" s="23"/>
      <c r="N73" s="21"/>
      <c r="O73" s="24"/>
      <c r="P73" s="23"/>
      <c r="Q73" s="21"/>
      <c r="R73" s="24"/>
      <c r="S73" s="23"/>
      <c r="T73" s="21"/>
      <c r="U73" s="24"/>
      <c r="V73" s="25">
        <f t="shared" si="7"/>
        <v>0</v>
      </c>
      <c r="W73" s="17">
        <f t="shared" si="8"/>
        <v>0</v>
      </c>
      <c r="X73" s="26"/>
      <c r="Y73" s="26"/>
      <c r="Z73" s="27"/>
      <c r="AB73" s="137"/>
      <c r="AE73" s="137"/>
    </row>
    <row r="74" spans="1:31" ht="33.75" customHeight="1">
      <c r="A74" s="37"/>
      <c r="B74" s="35"/>
      <c r="C74" s="19"/>
      <c r="D74" s="20"/>
      <c r="E74" s="20"/>
      <c r="F74" s="21"/>
      <c r="G74" s="21"/>
      <c r="H74" s="17">
        <f t="shared" si="6"/>
        <v>0</v>
      </c>
      <c r="I74" s="22"/>
      <c r="J74" s="23"/>
      <c r="K74" s="21"/>
      <c r="L74" s="24"/>
      <c r="M74" s="23"/>
      <c r="N74" s="21"/>
      <c r="O74" s="24"/>
      <c r="P74" s="23"/>
      <c r="Q74" s="21"/>
      <c r="R74" s="24"/>
      <c r="S74" s="23"/>
      <c r="T74" s="21"/>
      <c r="U74" s="24"/>
      <c r="V74" s="25">
        <f t="shared" si="7"/>
        <v>0</v>
      </c>
      <c r="W74" s="17">
        <f t="shared" si="8"/>
        <v>0</v>
      </c>
      <c r="X74" s="26"/>
      <c r="Y74" s="26"/>
      <c r="Z74" s="27"/>
      <c r="AB74" s="137"/>
      <c r="AE74" s="137"/>
    </row>
    <row r="75" spans="1:31" ht="33.75" customHeight="1">
      <c r="A75" s="37"/>
      <c r="B75" s="30"/>
      <c r="C75" s="19"/>
      <c r="D75" s="20"/>
      <c r="E75" s="20"/>
      <c r="F75" s="21"/>
      <c r="G75" s="21"/>
      <c r="H75" s="17">
        <f t="shared" si="6"/>
        <v>0</v>
      </c>
      <c r="I75" s="22"/>
      <c r="J75" s="23"/>
      <c r="K75" s="21"/>
      <c r="L75" s="24"/>
      <c r="M75" s="23"/>
      <c r="N75" s="21"/>
      <c r="O75" s="24"/>
      <c r="P75" s="23"/>
      <c r="Q75" s="21"/>
      <c r="R75" s="24"/>
      <c r="S75" s="23"/>
      <c r="T75" s="21"/>
      <c r="U75" s="24"/>
      <c r="V75" s="25">
        <f t="shared" si="7"/>
        <v>0</v>
      </c>
      <c r="W75" s="17">
        <f t="shared" si="8"/>
        <v>0</v>
      </c>
      <c r="X75" s="26"/>
      <c r="Y75" s="26"/>
      <c r="Z75" s="27"/>
      <c r="AB75" s="137"/>
      <c r="AE75" s="137"/>
    </row>
    <row r="76" spans="1:31" ht="33.75" customHeight="1">
      <c r="A76" s="37"/>
      <c r="B76" s="28"/>
      <c r="C76" s="19"/>
      <c r="D76" s="20"/>
      <c r="E76" s="20"/>
      <c r="F76" s="21"/>
      <c r="G76" s="21"/>
      <c r="H76" s="17">
        <f t="shared" si="6"/>
        <v>0</v>
      </c>
      <c r="I76" s="22"/>
      <c r="J76" s="23"/>
      <c r="K76" s="21"/>
      <c r="L76" s="24"/>
      <c r="M76" s="23"/>
      <c r="N76" s="21"/>
      <c r="O76" s="24"/>
      <c r="P76" s="23"/>
      <c r="Q76" s="21"/>
      <c r="R76" s="24"/>
      <c r="S76" s="23"/>
      <c r="T76" s="21"/>
      <c r="U76" s="24"/>
      <c r="V76" s="25">
        <f t="shared" si="7"/>
        <v>0</v>
      </c>
      <c r="W76" s="17">
        <f t="shared" si="8"/>
        <v>0</v>
      </c>
      <c r="X76" s="26"/>
      <c r="Y76" s="26"/>
      <c r="Z76" s="27"/>
      <c r="AB76" s="137"/>
      <c r="AE76" s="137"/>
    </row>
    <row r="77" spans="1:31" ht="33.75" customHeight="1">
      <c r="A77" s="37"/>
      <c r="B77" s="18"/>
      <c r="C77" s="19"/>
      <c r="D77" s="20"/>
      <c r="E77" s="20"/>
      <c r="F77" s="21"/>
      <c r="G77" s="21"/>
      <c r="H77" s="17">
        <f t="shared" si="6"/>
        <v>0</v>
      </c>
      <c r="I77" s="22"/>
      <c r="J77" s="23"/>
      <c r="K77" s="21"/>
      <c r="L77" s="24"/>
      <c r="M77" s="23"/>
      <c r="N77" s="21"/>
      <c r="O77" s="24"/>
      <c r="P77" s="23"/>
      <c r="Q77" s="21"/>
      <c r="R77" s="24"/>
      <c r="S77" s="23"/>
      <c r="T77" s="21"/>
      <c r="U77" s="24"/>
      <c r="V77" s="25">
        <f t="shared" si="7"/>
        <v>0</v>
      </c>
      <c r="W77" s="17">
        <f t="shared" si="8"/>
        <v>0</v>
      </c>
      <c r="X77" s="26"/>
      <c r="Y77" s="26"/>
      <c r="Z77" s="27"/>
      <c r="AB77" s="137"/>
      <c r="AE77" s="137"/>
    </row>
  </sheetData>
  <mergeCells count="27">
    <mergeCell ref="Z4:Z5"/>
    <mergeCell ref="A29:A32"/>
    <mergeCell ref="P4:R4"/>
    <mergeCell ref="C19:C20"/>
    <mergeCell ref="D19:D20"/>
    <mergeCell ref="B4:B5"/>
    <mergeCell ref="W4:W5"/>
    <mergeCell ref="F4:F5"/>
    <mergeCell ref="Y4:Y5"/>
    <mergeCell ref="H4:H5"/>
    <mergeCell ref="B16:B26"/>
    <mergeCell ref="B29:B31"/>
    <mergeCell ref="X4:X5"/>
    <mergeCell ref="G4:G5"/>
    <mergeCell ref="M4:O4"/>
    <mergeCell ref="I4:I5"/>
    <mergeCell ref="S4:U4"/>
    <mergeCell ref="A6:A27"/>
    <mergeCell ref="C4:C5"/>
    <mergeCell ref="V4:V5"/>
    <mergeCell ref="E4:E5"/>
    <mergeCell ref="E33:E34"/>
    <mergeCell ref="J4:L4"/>
    <mergeCell ref="A33:A39"/>
    <mergeCell ref="D4:D5"/>
    <mergeCell ref="A4:A5"/>
    <mergeCell ref="B33:B34"/>
  </mergeCells>
  <conditionalFormatting sqref="H6:H7">
    <cfRule type="top10" priority="47" rank="10"/>
    <cfRule type="colorScale" priority="46">
      <colorScale>
        <cfvo type="num" val="4"/>
        <cfvo type="num" val="8"/>
        <cfvo type="num" val="12"/>
        <color rgb="FF92D050"/>
        <color rgb="FFFFC000"/>
        <color rgb="FFFF0000"/>
      </colorScale>
    </cfRule>
    <cfRule type="colorScale" priority="45">
      <colorScale>
        <cfvo type="num" val="0"/>
        <cfvo type="num" val="8"/>
        <cfvo type="num" val="16"/>
        <color rgb="FF92D050"/>
        <color rgb="FFFFC000"/>
        <color rgb="FFFF0000"/>
      </colorScale>
    </cfRule>
  </conditionalFormatting>
  <conditionalFormatting sqref="H8">
    <cfRule type="colorScale" priority="1">
      <colorScale>
        <cfvo type="num" val="0"/>
        <cfvo type="num" val="8"/>
        <cfvo type="num" val="16"/>
        <color rgb="FF92D050"/>
        <color rgb="FFFFC000"/>
        <color rgb="FFFF0000"/>
      </colorScale>
    </cfRule>
    <cfRule type="colorScale" priority="2">
      <colorScale>
        <cfvo type="num" val="4"/>
        <cfvo type="num" val="8"/>
        <cfvo type="num" val="12"/>
        <color rgb="FF92D050"/>
        <color rgb="FFFFC000"/>
        <color rgb="FFFF0000"/>
      </colorScale>
    </cfRule>
    <cfRule type="top10" priority="3" rank="10"/>
  </conditionalFormatting>
  <conditionalFormatting sqref="H9:H15 H33:H35">
    <cfRule type="colorScale" priority="43">
      <colorScale>
        <cfvo type="num" val="4"/>
        <cfvo type="num" val="8"/>
        <cfvo type="num" val="12"/>
        <color rgb="FF92D050"/>
        <color rgb="FFFFC000"/>
        <color rgb="FFFF0000"/>
      </colorScale>
    </cfRule>
    <cfRule type="colorScale" priority="42">
      <colorScale>
        <cfvo type="num" val="0"/>
        <cfvo type="num" val="8"/>
        <cfvo type="num" val="16"/>
        <color rgb="FF92D050"/>
        <color rgb="FFFFC000"/>
        <color rgb="FFFF0000"/>
      </colorScale>
    </cfRule>
    <cfRule type="top10" priority="44" rank="10"/>
  </conditionalFormatting>
  <conditionalFormatting sqref="H16:H18">
    <cfRule type="colorScale" priority="22">
      <colorScale>
        <cfvo type="num" val="4"/>
        <cfvo type="num" val="8"/>
        <cfvo type="num" val="12"/>
        <color rgb="FF92D050"/>
        <color rgb="FFFFC000"/>
        <color rgb="FFFF0000"/>
      </colorScale>
    </cfRule>
    <cfRule type="top10" priority="23" rank="10"/>
    <cfRule type="colorScale" priority="21">
      <colorScale>
        <cfvo type="num" val="0"/>
        <cfvo type="num" val="8"/>
        <cfvo type="num" val="16"/>
        <color rgb="FF92D050"/>
        <color rgb="FFFFC000"/>
        <color rgb="FFFF0000"/>
      </colorScale>
    </cfRule>
  </conditionalFormatting>
  <conditionalFormatting sqref="H19:H21">
    <cfRule type="colorScale" priority="24">
      <colorScale>
        <cfvo type="num" val="0"/>
        <cfvo type="num" val="8"/>
        <cfvo type="num" val="16"/>
        <color rgb="FF92D050"/>
        <color rgb="FFFFC000"/>
        <color rgb="FFFF0000"/>
      </colorScale>
    </cfRule>
    <cfRule type="colorScale" priority="25">
      <colorScale>
        <cfvo type="num" val="4"/>
        <cfvo type="num" val="8"/>
        <cfvo type="num" val="12"/>
        <color rgb="FF92D050"/>
        <color rgb="FFFFC000"/>
        <color rgb="FFFF0000"/>
      </colorScale>
    </cfRule>
    <cfRule type="top10" priority="26" rank="10"/>
  </conditionalFormatting>
  <conditionalFormatting sqref="H22">
    <cfRule type="top10" priority="20" rank="10"/>
    <cfRule type="colorScale" priority="18">
      <colorScale>
        <cfvo type="num" val="0"/>
        <cfvo type="num" val="8"/>
        <cfvo type="num" val="16"/>
        <color rgb="FF92D050"/>
        <color rgb="FFFFC000"/>
        <color rgb="FFFF0000"/>
      </colorScale>
    </cfRule>
    <cfRule type="colorScale" priority="19">
      <colorScale>
        <cfvo type="num" val="4"/>
        <cfvo type="num" val="8"/>
        <cfvo type="num" val="12"/>
        <color rgb="FF92D050"/>
        <color rgb="FFFFC000"/>
        <color rgb="FFFF0000"/>
      </colorScale>
    </cfRule>
  </conditionalFormatting>
  <conditionalFormatting sqref="H23">
    <cfRule type="colorScale" priority="15">
      <colorScale>
        <cfvo type="num" val="0"/>
        <cfvo type="num" val="8"/>
        <cfvo type="num" val="16"/>
        <color rgb="FF92D050"/>
        <color rgb="FFFFC000"/>
        <color rgb="FFFF0000"/>
      </colorScale>
    </cfRule>
    <cfRule type="colorScale" priority="16">
      <colorScale>
        <cfvo type="num" val="4"/>
        <cfvo type="num" val="8"/>
        <cfvo type="num" val="12"/>
        <color rgb="FF92D050"/>
        <color rgb="FFFFC000"/>
        <color rgb="FFFF0000"/>
      </colorScale>
    </cfRule>
    <cfRule type="top10" priority="17" rank="10"/>
  </conditionalFormatting>
  <conditionalFormatting sqref="H24">
    <cfRule type="top10" priority="14" rank="10"/>
    <cfRule type="colorScale" priority="13">
      <colorScale>
        <cfvo type="num" val="4"/>
        <cfvo type="num" val="8"/>
        <cfvo type="num" val="12"/>
        <color rgb="FF92D050"/>
        <color rgb="FFFFC000"/>
        <color rgb="FFFF0000"/>
      </colorScale>
    </cfRule>
    <cfRule type="colorScale" priority="12">
      <colorScale>
        <cfvo type="num" val="0"/>
        <cfvo type="num" val="8"/>
        <cfvo type="num" val="16"/>
        <color rgb="FF92D050"/>
        <color rgb="FFFFC000"/>
        <color rgb="FFFF0000"/>
      </colorScale>
    </cfRule>
  </conditionalFormatting>
  <conditionalFormatting sqref="H25:H32">
    <cfRule type="colorScale" priority="39">
      <colorScale>
        <cfvo type="num" val="0"/>
        <cfvo type="num" val="8"/>
        <cfvo type="num" val="16"/>
        <color rgb="FF92D050"/>
        <color rgb="FFFFC000"/>
        <color rgb="FFFF0000"/>
      </colorScale>
    </cfRule>
    <cfRule type="colorScale" priority="40">
      <colorScale>
        <cfvo type="num" val="4"/>
        <cfvo type="num" val="8"/>
        <cfvo type="num" val="12"/>
        <color rgb="FF92D050"/>
        <color rgb="FFFFC000"/>
        <color rgb="FFFF0000"/>
      </colorScale>
    </cfRule>
    <cfRule type="top10" priority="41" rank="10"/>
  </conditionalFormatting>
  <conditionalFormatting sqref="H36:H39">
    <cfRule type="colorScale" priority="33">
      <colorScale>
        <cfvo type="num" val="0"/>
        <cfvo type="num" val="8"/>
        <cfvo type="num" val="16"/>
        <color rgb="FF92D050"/>
        <color rgb="FFFFC000"/>
        <color rgb="FFFF0000"/>
      </colorScale>
    </cfRule>
    <cfRule type="colorScale" priority="34">
      <colorScale>
        <cfvo type="num" val="4"/>
        <cfvo type="num" val="8"/>
        <cfvo type="num" val="12"/>
        <color rgb="FF92D050"/>
        <color rgb="FFFFC000"/>
        <color rgb="FFFF0000"/>
      </colorScale>
    </cfRule>
    <cfRule type="top10" priority="35" rank="10"/>
  </conditionalFormatting>
  <conditionalFormatting sqref="H40:H58">
    <cfRule type="colorScale" priority="36">
      <colorScale>
        <cfvo type="num" val="0"/>
        <cfvo type="num" val="8"/>
        <cfvo type="num" val="16"/>
        <color rgb="FF92D050"/>
        <color rgb="FFFFC000"/>
        <color rgb="FFFF0000"/>
      </colorScale>
    </cfRule>
    <cfRule type="colorScale" priority="37">
      <colorScale>
        <cfvo type="num" val="4"/>
        <cfvo type="num" val="8"/>
        <cfvo type="num" val="12"/>
        <color rgb="FF92D050"/>
        <color rgb="FFFFC000"/>
        <color rgb="FFFF0000"/>
      </colorScale>
    </cfRule>
    <cfRule type="top10" priority="38" rank="10"/>
  </conditionalFormatting>
  <conditionalFormatting sqref="H59:H70">
    <cfRule type="colorScale" priority="27">
      <colorScale>
        <cfvo type="num" val="0"/>
        <cfvo type="num" val="8"/>
        <cfvo type="num" val="16"/>
        <color rgb="FF92D050"/>
        <color rgb="FFFFC000"/>
        <color rgb="FFFF0000"/>
      </colorScale>
    </cfRule>
    <cfRule type="colorScale" priority="28">
      <colorScale>
        <cfvo type="num" val="4"/>
        <cfvo type="num" val="8"/>
        <cfvo type="num" val="12"/>
        <color rgb="FF92D050"/>
        <color rgb="FFFFC000"/>
        <color rgb="FFFF0000"/>
      </colorScale>
    </cfRule>
    <cfRule type="top10" priority="29" rank="10"/>
  </conditionalFormatting>
  <conditionalFormatting sqref="H71:H77">
    <cfRule type="colorScale" priority="30">
      <colorScale>
        <cfvo type="num" val="0"/>
        <cfvo type="num" val="8"/>
        <cfvo type="num" val="16"/>
        <color rgb="FF92D050"/>
        <color rgb="FFFFC000"/>
        <color rgb="FFFF0000"/>
      </colorScale>
    </cfRule>
    <cfRule type="colorScale" priority="31">
      <colorScale>
        <cfvo type="num" val="4"/>
        <cfvo type="num" val="8"/>
        <cfvo type="num" val="12"/>
        <color rgb="FF92D050"/>
        <color rgb="FFFFC000"/>
        <color rgb="FFFF0000"/>
      </colorScale>
    </cfRule>
    <cfRule type="top10" priority="32" rank="10"/>
  </conditionalFormatting>
  <conditionalFormatting sqref="W6:W77">
    <cfRule type="cellIs" dxfId="15" priority="4" operator="between">
      <formula>13</formula>
      <formula>99.99</formula>
    </cfRule>
    <cfRule type="cellIs" dxfId="14" priority="5" operator="between">
      <formula>9</formula>
      <formula>12.99</formula>
    </cfRule>
    <cfRule type="cellIs" dxfId="13" priority="7" operator="between">
      <formula>0.01</formula>
      <formula>4.99</formula>
    </cfRule>
    <cfRule type="cellIs" dxfId="12" priority="6" operator="between">
      <formula>5</formula>
      <formula>8.99</formula>
    </cfRule>
  </conditionalFormatting>
  <conditionalFormatting sqref="AA6:AA77">
    <cfRule type="expression" dxfId="11" priority="48">
      <formula>AA6="Clôturée"</formula>
    </cfRule>
    <cfRule type="expression" dxfId="10" priority="49">
      <formula>AA6="En cours"</formula>
    </cfRule>
    <cfRule type="expression" dxfId="9" priority="50">
      <formula>AA6="Bloquée"</formula>
    </cfRule>
  </conditionalFormatting>
  <dataValidations count="8">
    <dataValidation type="list" allowBlank="1" showInputMessage="1" showErrorMessage="1" sqref="F6:F7 F28" xr:uid="{00000000-0002-0000-0300-000000000000}">
      <formula1>"2,3,4,5"</formula1>
    </dataValidation>
    <dataValidation type="list" allowBlank="1" showInputMessage="1" showErrorMessage="1" sqref="G6:G7 G28" xr:uid="{00000000-0002-0000-0300-000001000000}">
      <formula1>"1,2,3,4"</formula1>
    </dataValidation>
    <dataValidation type="list" allowBlank="1" showInputMessage="1" showErrorMessage="1" sqref="K6:K7 K9:K77 N6:N7 N9:N77 Q6:Q7 Q9:Q77 T6:T7 T9:T77" xr:uid="{00000000-0002-0000-0300-000002000000}">
      <formula1>"2"</formula1>
    </dataValidation>
    <dataValidation type="list" allowBlank="1" showInputMessage="1" showErrorMessage="1" sqref="L6:L7 L9:L77 O6:O7 O9:O77 R6:R7 R9:R77 U6:U7 U9:U77" xr:uid="{00000000-0002-0000-0300-000003000000}">
      <formula1>"1"</formula1>
    </dataValidation>
    <dataValidation type="list" allowBlank="1" showInputMessage="1" showErrorMessage="1" sqref="J6:J7 J9:J77 M6:M7 M9:M77 P6:P7 P9:P77 S6:S7 S9:S77" xr:uid="{00000000-0002-0000-0300-000004000000}">
      <formula1>"3"</formula1>
    </dataValidation>
    <dataValidation type="list" sqref="AA6:AA77" xr:uid="{00000000-0002-0000-0300-000005000000}">
      <formula1>"À lancer,En cours,Bloquée,Clôturée"</formula1>
    </dataValidation>
    <dataValidation type="list" allowBlank="1" sqref="AC6:AC77" xr:uid="{00000000-0002-0000-0300-000006000000}">
      <formula1>"Automatique,Forcée,Exclue"</formula1>
    </dataValidation>
    <dataValidation type="list" allowBlank="1" sqref="AD6:AD77" xr:uid="{00000000-0002-0000-0300-000007000000}">
      <formula1>"Oui,Non,Partiellement,À vérifier"</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AF77"/>
  <sheetViews>
    <sheetView workbookViewId="0"/>
  </sheetViews>
  <sheetFormatPr baseColWidth="10" defaultRowHeight="12.75"/>
  <cols>
    <col min="1" max="1" width="47.85546875" customWidth="1"/>
    <col min="2" max="5" width="27.140625" customWidth="1"/>
    <col min="6" max="8" width="4.85546875" customWidth="1"/>
    <col min="9" max="9" width="51.28515625" customWidth="1"/>
    <col min="10" max="23" width="6.5703125" customWidth="1"/>
    <col min="24" max="26" width="20.7109375" customWidth="1"/>
    <col min="27" max="27" width="14" customWidth="1"/>
    <col min="28" max="28" width="15" customWidth="1"/>
    <col min="29" max="30" width="18" customWidth="1"/>
    <col min="31" max="31" width="16" customWidth="1"/>
    <col min="32" max="32" width="32" customWidth="1"/>
  </cols>
  <sheetData>
    <row r="1" spans="1:32">
      <c r="A1" s="9"/>
      <c r="B1" s="10"/>
      <c r="C1" s="4"/>
      <c r="D1" s="4"/>
      <c r="E1" s="1"/>
      <c r="F1" s="6"/>
      <c r="G1" s="6"/>
      <c r="H1" s="7" t="s">
        <v>79</v>
      </c>
      <c r="I1" s="6"/>
      <c r="J1" s="6"/>
      <c r="K1" s="1"/>
      <c r="L1" s="8" t="s">
        <v>80</v>
      </c>
      <c r="M1" s="8"/>
      <c r="N1" s="8"/>
      <c r="O1" s="8"/>
      <c r="P1" s="8"/>
      <c r="Q1" s="8"/>
      <c r="R1" s="1"/>
      <c r="S1" s="1"/>
      <c r="T1" s="1"/>
      <c r="U1" s="1"/>
      <c r="V1" s="1"/>
      <c r="W1" s="1"/>
      <c r="X1" s="1"/>
      <c r="Y1" s="1"/>
      <c r="Z1" s="1"/>
    </row>
    <row r="2" spans="1:32">
      <c r="A2" s="1"/>
      <c r="B2" s="2"/>
      <c r="C2" s="4"/>
      <c r="D2" s="4"/>
      <c r="E2" s="1"/>
      <c r="F2" s="11"/>
      <c r="G2" s="11"/>
      <c r="H2" s="11"/>
      <c r="I2" s="11"/>
      <c r="J2" s="1"/>
      <c r="K2" s="1"/>
      <c r="L2" s="1"/>
      <c r="M2" s="1"/>
      <c r="N2" s="1"/>
      <c r="O2" s="1"/>
      <c r="P2" s="1"/>
      <c r="Q2" s="1"/>
      <c r="R2" s="1"/>
      <c r="S2" s="1"/>
      <c r="T2" s="1"/>
      <c r="U2" s="1"/>
      <c r="V2" s="1"/>
      <c r="W2" s="1"/>
      <c r="X2" s="1"/>
      <c r="Y2" s="1"/>
      <c r="Z2" s="1"/>
    </row>
    <row r="3" spans="1:32" ht="13.5" customHeight="1">
      <c r="A3" s="1"/>
      <c r="B3" s="2"/>
      <c r="C3" s="1"/>
      <c r="D3" s="1"/>
      <c r="E3" s="1"/>
      <c r="F3" s="12"/>
      <c r="G3" s="12"/>
      <c r="H3" s="13" t="s">
        <v>81</v>
      </c>
      <c r="I3" s="12"/>
      <c r="J3" s="12"/>
      <c r="K3" s="1"/>
      <c r="L3" s="14" t="s">
        <v>82</v>
      </c>
      <c r="M3" s="15"/>
      <c r="N3" s="15"/>
      <c r="O3" s="15"/>
      <c r="P3" s="15"/>
      <c r="Q3" s="15"/>
      <c r="R3" s="1"/>
      <c r="S3" s="1"/>
      <c r="T3" s="1"/>
      <c r="U3" s="1"/>
      <c r="V3" s="1"/>
      <c r="W3" s="1"/>
      <c r="X3" s="1"/>
      <c r="Y3" s="1"/>
      <c r="Z3" s="1"/>
    </row>
    <row r="4" spans="1:32" ht="25.5">
      <c r="A4" s="184" t="s">
        <v>83</v>
      </c>
      <c r="B4" s="184" t="s">
        <v>84</v>
      </c>
      <c r="C4" s="172" t="s">
        <v>85</v>
      </c>
      <c r="D4" s="172" t="s">
        <v>86</v>
      </c>
      <c r="E4" s="176" t="s">
        <v>87</v>
      </c>
      <c r="F4" s="193" t="s">
        <v>88</v>
      </c>
      <c r="G4" s="174" t="s">
        <v>89</v>
      </c>
      <c r="H4" s="174" t="s">
        <v>90</v>
      </c>
      <c r="I4" s="174" t="s">
        <v>91</v>
      </c>
      <c r="J4" s="180" t="s">
        <v>92</v>
      </c>
      <c r="K4" s="181"/>
      <c r="L4" s="182"/>
      <c r="M4" s="180" t="s">
        <v>93</v>
      </c>
      <c r="N4" s="181"/>
      <c r="O4" s="182"/>
      <c r="P4" s="180" t="s">
        <v>94</v>
      </c>
      <c r="Q4" s="181"/>
      <c r="R4" s="182"/>
      <c r="S4" s="180" t="s">
        <v>95</v>
      </c>
      <c r="T4" s="181"/>
      <c r="U4" s="182"/>
      <c r="V4" s="174" t="s">
        <v>96</v>
      </c>
      <c r="W4" s="192" t="s">
        <v>97</v>
      </c>
      <c r="X4" s="186" t="s">
        <v>98</v>
      </c>
      <c r="Y4" s="186" t="s">
        <v>99</v>
      </c>
      <c r="Z4" s="187" t="s">
        <v>100</v>
      </c>
      <c r="AA4" s="135" t="s">
        <v>101</v>
      </c>
      <c r="AB4" s="135" t="s">
        <v>102</v>
      </c>
      <c r="AC4" s="143" t="s">
        <v>103</v>
      </c>
      <c r="AD4" s="143" t="s">
        <v>104</v>
      </c>
      <c r="AE4" s="143" t="s">
        <v>105</v>
      </c>
      <c r="AF4" s="143" t="s">
        <v>106</v>
      </c>
    </row>
    <row r="5" spans="1:32" ht="51.75" customHeight="1">
      <c r="A5" s="185"/>
      <c r="B5" s="185"/>
      <c r="C5" s="173"/>
      <c r="D5" s="173"/>
      <c r="E5" s="177"/>
      <c r="F5" s="175"/>
      <c r="G5" s="175"/>
      <c r="H5" s="175"/>
      <c r="I5" s="175"/>
      <c r="J5" s="16" t="s">
        <v>107</v>
      </c>
      <c r="K5" s="16" t="s">
        <v>108</v>
      </c>
      <c r="L5" s="16" t="s">
        <v>109</v>
      </c>
      <c r="M5" s="16" t="s">
        <v>107</v>
      </c>
      <c r="N5" s="16" t="s">
        <v>108</v>
      </c>
      <c r="O5" s="16" t="s">
        <v>109</v>
      </c>
      <c r="P5" s="16" t="s">
        <v>107</v>
      </c>
      <c r="Q5" s="16" t="s">
        <v>108</v>
      </c>
      <c r="R5" s="16" t="s">
        <v>109</v>
      </c>
      <c r="S5" s="16" t="s">
        <v>107</v>
      </c>
      <c r="T5" s="16" t="s">
        <v>108</v>
      </c>
      <c r="U5" s="16" t="s">
        <v>109</v>
      </c>
      <c r="V5" s="175"/>
      <c r="W5" s="185"/>
      <c r="X5" s="175"/>
      <c r="Y5" s="175"/>
      <c r="Z5" s="188"/>
      <c r="AA5" s="136"/>
      <c r="AB5" s="136"/>
    </row>
    <row r="6" spans="1:32">
      <c r="A6" s="169"/>
      <c r="B6" s="28"/>
      <c r="C6" s="41"/>
      <c r="D6" s="42"/>
      <c r="E6" s="42"/>
      <c r="F6" s="43"/>
      <c r="G6" s="43"/>
      <c r="H6" s="17">
        <f t="shared" ref="H6:H37" si="0">F6*G6</f>
        <v>0</v>
      </c>
      <c r="I6" s="49"/>
      <c r="J6" s="44"/>
      <c r="K6" s="45"/>
      <c r="L6" s="46"/>
      <c r="M6" s="44"/>
      <c r="N6" s="45"/>
      <c r="O6" s="46"/>
      <c r="P6" s="44"/>
      <c r="Q6" s="45"/>
      <c r="R6" s="46"/>
      <c r="S6" s="44"/>
      <c r="T6" s="45"/>
      <c r="U6" s="46"/>
      <c r="V6" s="47">
        <f t="shared" ref="V6:V37" si="1">SUM(J6:L6)*SUM(M6:O6)*SUM(P6:R6)*SUM(S6:U6)/4</f>
        <v>0</v>
      </c>
      <c r="W6" s="48">
        <f t="shared" ref="W6:W37" si="2">IFERROR(H6/V6,0)</f>
        <v>0</v>
      </c>
      <c r="X6" s="49"/>
      <c r="Y6" s="49"/>
      <c r="Z6" s="50"/>
      <c r="AB6" s="137"/>
      <c r="AE6" s="137"/>
    </row>
    <row r="7" spans="1:32">
      <c r="A7" s="170"/>
      <c r="B7" s="30"/>
      <c r="C7" s="19"/>
      <c r="D7" s="20"/>
      <c r="E7" s="20"/>
      <c r="F7" s="21"/>
      <c r="G7" s="21"/>
      <c r="H7" s="17">
        <f t="shared" si="0"/>
        <v>0</v>
      </c>
      <c r="I7" s="26"/>
      <c r="J7" s="23"/>
      <c r="K7" s="21"/>
      <c r="L7" s="24"/>
      <c r="M7" s="23"/>
      <c r="N7" s="21"/>
      <c r="O7" s="24"/>
      <c r="P7" s="23"/>
      <c r="Q7" s="21"/>
      <c r="R7" s="24"/>
      <c r="S7" s="23"/>
      <c r="T7" s="21"/>
      <c r="U7" s="24"/>
      <c r="V7" s="25">
        <f t="shared" si="1"/>
        <v>0</v>
      </c>
      <c r="W7" s="17">
        <f t="shared" si="2"/>
        <v>0</v>
      </c>
      <c r="X7" s="36"/>
      <c r="Y7" s="51"/>
      <c r="Z7" s="52"/>
      <c r="AB7" s="137"/>
      <c r="AE7" s="137"/>
    </row>
    <row r="8" spans="1:32">
      <c r="A8" s="170"/>
      <c r="B8" s="18"/>
      <c r="C8" s="53"/>
      <c r="D8" s="20"/>
      <c r="E8" s="20"/>
      <c r="F8" s="45"/>
      <c r="G8" s="45"/>
      <c r="H8" s="17">
        <f t="shared" si="0"/>
        <v>0</v>
      </c>
      <c r="I8" s="32"/>
      <c r="J8" s="23"/>
      <c r="K8" s="21"/>
      <c r="L8" s="24"/>
      <c r="M8" s="23"/>
      <c r="N8" s="21"/>
      <c r="O8" s="24"/>
      <c r="P8" s="23"/>
      <c r="Q8" s="21"/>
      <c r="R8" s="24"/>
      <c r="S8" s="23"/>
      <c r="T8" s="21"/>
      <c r="U8" s="24"/>
      <c r="V8" s="25">
        <f t="shared" si="1"/>
        <v>0</v>
      </c>
      <c r="W8" s="17">
        <f t="shared" si="2"/>
        <v>0</v>
      </c>
      <c r="X8" s="49"/>
      <c r="Y8" s="54"/>
      <c r="Z8" s="50"/>
      <c r="AB8" s="137"/>
      <c r="AE8" s="137"/>
    </row>
    <row r="9" spans="1:32">
      <c r="A9" s="170"/>
      <c r="B9" s="18"/>
      <c r="C9" s="19"/>
      <c r="D9" s="20"/>
      <c r="E9" s="20"/>
      <c r="F9" s="21"/>
      <c r="G9" s="21"/>
      <c r="H9" s="17">
        <f t="shared" si="0"/>
        <v>0</v>
      </c>
      <c r="I9" s="22"/>
      <c r="J9" s="23"/>
      <c r="K9" s="21"/>
      <c r="L9" s="24"/>
      <c r="M9" s="23"/>
      <c r="N9" s="21"/>
      <c r="O9" s="24"/>
      <c r="P9" s="23"/>
      <c r="Q9" s="21"/>
      <c r="R9" s="24"/>
      <c r="S9" s="23"/>
      <c r="T9" s="21"/>
      <c r="U9" s="24"/>
      <c r="V9" s="25">
        <f t="shared" si="1"/>
        <v>0</v>
      </c>
      <c r="W9" s="17">
        <f t="shared" si="2"/>
        <v>0</v>
      </c>
      <c r="X9" s="26"/>
      <c r="Y9" s="26"/>
      <c r="Z9" s="27"/>
      <c r="AB9" s="137"/>
      <c r="AE9" s="137"/>
    </row>
    <row r="10" spans="1:32">
      <c r="A10" s="170"/>
      <c r="B10" s="18"/>
      <c r="C10" s="19"/>
      <c r="D10" s="20"/>
      <c r="E10" s="20"/>
      <c r="F10" s="21"/>
      <c r="G10" s="21"/>
      <c r="H10" s="17">
        <f t="shared" si="0"/>
        <v>0</v>
      </c>
      <c r="I10" s="22"/>
      <c r="J10" s="23"/>
      <c r="K10" s="21"/>
      <c r="L10" s="24"/>
      <c r="M10" s="23"/>
      <c r="N10" s="21"/>
      <c r="O10" s="24"/>
      <c r="P10" s="23"/>
      <c r="Q10" s="21"/>
      <c r="R10" s="24"/>
      <c r="S10" s="23"/>
      <c r="T10" s="21"/>
      <c r="U10" s="24"/>
      <c r="V10" s="25">
        <f t="shared" si="1"/>
        <v>0</v>
      </c>
      <c r="W10" s="17">
        <f t="shared" si="2"/>
        <v>0</v>
      </c>
      <c r="X10" s="26"/>
      <c r="Y10" s="26"/>
      <c r="Z10" s="27"/>
      <c r="AB10" s="137"/>
      <c r="AE10" s="137"/>
    </row>
    <row r="11" spans="1:32">
      <c r="A11" s="170"/>
      <c r="B11" s="35"/>
      <c r="C11" s="19"/>
      <c r="D11" s="20"/>
      <c r="E11" s="20"/>
      <c r="F11" s="21"/>
      <c r="G11" s="21"/>
      <c r="H11" s="17">
        <f t="shared" si="0"/>
        <v>0</v>
      </c>
      <c r="I11" s="33"/>
      <c r="J11" s="23"/>
      <c r="K11" s="21"/>
      <c r="L11" s="24"/>
      <c r="M11" s="23"/>
      <c r="N11" s="21"/>
      <c r="O11" s="24"/>
      <c r="P11" s="23"/>
      <c r="Q11" s="21"/>
      <c r="R11" s="24"/>
      <c r="S11" s="23"/>
      <c r="T11" s="21"/>
      <c r="U11" s="24"/>
      <c r="V11" s="25">
        <f t="shared" si="1"/>
        <v>0</v>
      </c>
      <c r="W11" s="17">
        <f t="shared" si="2"/>
        <v>0</v>
      </c>
      <c r="X11" s="26"/>
      <c r="Y11" s="55"/>
      <c r="Z11" s="27"/>
      <c r="AB11" s="137"/>
      <c r="AE11" s="137"/>
    </row>
    <row r="12" spans="1:32">
      <c r="A12" s="170"/>
      <c r="B12" s="18"/>
      <c r="C12" s="19"/>
      <c r="D12" s="20"/>
      <c r="E12" s="20"/>
      <c r="F12" s="21"/>
      <c r="G12" s="21"/>
      <c r="H12" s="17">
        <f t="shared" si="0"/>
        <v>0</v>
      </c>
      <c r="I12" s="33"/>
      <c r="J12" s="23"/>
      <c r="K12" s="21"/>
      <c r="L12" s="24"/>
      <c r="M12" s="23"/>
      <c r="N12" s="21"/>
      <c r="O12" s="24"/>
      <c r="P12" s="23"/>
      <c r="Q12" s="21"/>
      <c r="R12" s="24"/>
      <c r="S12" s="23"/>
      <c r="T12" s="21"/>
      <c r="U12" s="24"/>
      <c r="V12" s="25">
        <f t="shared" si="1"/>
        <v>0</v>
      </c>
      <c r="W12" s="17">
        <f t="shared" si="2"/>
        <v>0</v>
      </c>
      <c r="X12" s="26"/>
      <c r="Y12" s="55"/>
      <c r="Z12" s="27"/>
      <c r="AB12" s="137"/>
      <c r="AE12" s="137"/>
    </row>
    <row r="13" spans="1:32">
      <c r="A13" s="170"/>
      <c r="B13" s="28"/>
      <c r="C13" s="19"/>
      <c r="D13" s="20"/>
      <c r="E13" s="20"/>
      <c r="F13" s="21"/>
      <c r="G13" s="21"/>
      <c r="H13" s="17">
        <f t="shared" si="0"/>
        <v>0</v>
      </c>
      <c r="I13" s="33"/>
      <c r="J13" s="23"/>
      <c r="K13" s="21"/>
      <c r="L13" s="24"/>
      <c r="M13" s="23"/>
      <c r="N13" s="21"/>
      <c r="O13" s="24"/>
      <c r="P13" s="23"/>
      <c r="Q13" s="21"/>
      <c r="R13" s="24"/>
      <c r="S13" s="23"/>
      <c r="T13" s="21"/>
      <c r="U13" s="24"/>
      <c r="V13" s="25">
        <f t="shared" si="1"/>
        <v>0</v>
      </c>
      <c r="W13" s="17">
        <f t="shared" si="2"/>
        <v>0</v>
      </c>
      <c r="X13" s="26"/>
      <c r="Y13" s="55"/>
      <c r="Z13" s="27"/>
      <c r="AB13" s="137"/>
      <c r="AE13" s="137"/>
    </row>
    <row r="14" spans="1:32" ht="73.5" customHeight="1">
      <c r="A14" s="170"/>
      <c r="B14" s="18"/>
      <c r="C14" s="19"/>
      <c r="D14" s="20"/>
      <c r="E14" s="20"/>
      <c r="F14" s="21"/>
      <c r="G14" s="21"/>
      <c r="H14" s="17">
        <f t="shared" si="0"/>
        <v>0</v>
      </c>
      <c r="I14" s="26"/>
      <c r="J14" s="23"/>
      <c r="K14" s="21"/>
      <c r="L14" s="24"/>
      <c r="M14" s="23"/>
      <c r="N14" s="21"/>
      <c r="O14" s="24"/>
      <c r="P14" s="23"/>
      <c r="Q14" s="21"/>
      <c r="R14" s="24"/>
      <c r="S14" s="23"/>
      <c r="T14" s="21"/>
      <c r="U14" s="24"/>
      <c r="V14" s="25">
        <f t="shared" si="1"/>
        <v>0</v>
      </c>
      <c r="W14" s="17">
        <f t="shared" si="2"/>
        <v>0</v>
      </c>
      <c r="X14" s="22"/>
      <c r="Y14" s="55"/>
      <c r="Z14" s="27"/>
      <c r="AB14" s="137"/>
      <c r="AE14" s="137"/>
    </row>
    <row r="15" spans="1:32" ht="42.75" customHeight="1">
      <c r="A15" s="170"/>
      <c r="B15" s="35"/>
      <c r="C15" s="19"/>
      <c r="D15" s="20"/>
      <c r="E15" s="20"/>
      <c r="F15" s="21"/>
      <c r="G15" s="21"/>
      <c r="H15" s="17">
        <f t="shared" si="0"/>
        <v>0</v>
      </c>
      <c r="I15" s="26"/>
      <c r="J15" s="23"/>
      <c r="K15" s="21"/>
      <c r="L15" s="24"/>
      <c r="M15" s="23"/>
      <c r="N15" s="21"/>
      <c r="O15" s="24"/>
      <c r="P15" s="23"/>
      <c r="Q15" s="21"/>
      <c r="R15" s="24"/>
      <c r="S15" s="23"/>
      <c r="T15" s="21"/>
      <c r="U15" s="24"/>
      <c r="V15" s="25">
        <f t="shared" si="1"/>
        <v>0</v>
      </c>
      <c r="W15" s="17">
        <f t="shared" si="2"/>
        <v>0</v>
      </c>
      <c r="X15" s="26"/>
      <c r="Y15" s="55"/>
      <c r="Z15" s="27"/>
      <c r="AB15" s="137"/>
      <c r="AE15" s="137"/>
    </row>
    <row r="16" spans="1:32">
      <c r="A16" s="170"/>
      <c r="B16" s="189"/>
      <c r="C16" s="19"/>
      <c r="D16" s="20"/>
      <c r="E16" s="20"/>
      <c r="F16" s="21"/>
      <c r="G16" s="21"/>
      <c r="H16" s="17">
        <f t="shared" si="0"/>
        <v>0</v>
      </c>
      <c r="I16" s="22"/>
      <c r="J16" s="23"/>
      <c r="K16" s="21"/>
      <c r="L16" s="24"/>
      <c r="M16" s="23"/>
      <c r="N16" s="21"/>
      <c r="O16" s="24"/>
      <c r="P16" s="23"/>
      <c r="Q16" s="21"/>
      <c r="R16" s="24"/>
      <c r="S16" s="23"/>
      <c r="T16" s="21"/>
      <c r="U16" s="24"/>
      <c r="V16" s="25">
        <f t="shared" si="1"/>
        <v>0</v>
      </c>
      <c r="W16" s="17">
        <f t="shared" si="2"/>
        <v>0</v>
      </c>
      <c r="X16" s="26"/>
      <c r="Y16" s="55"/>
      <c r="Z16" s="27"/>
      <c r="AB16" s="137"/>
      <c r="AE16" s="137"/>
    </row>
    <row r="17" spans="1:31">
      <c r="A17" s="170"/>
      <c r="B17" s="194"/>
      <c r="C17" s="19"/>
      <c r="D17" s="20"/>
      <c r="E17" s="20"/>
      <c r="F17" s="21"/>
      <c r="G17" s="21"/>
      <c r="H17" s="17">
        <f t="shared" si="0"/>
        <v>0</v>
      </c>
      <c r="I17" s="22"/>
      <c r="J17" s="23"/>
      <c r="K17" s="21"/>
      <c r="L17" s="24"/>
      <c r="M17" s="23"/>
      <c r="N17" s="21"/>
      <c r="O17" s="24"/>
      <c r="P17" s="23"/>
      <c r="Q17" s="21"/>
      <c r="R17" s="24"/>
      <c r="S17" s="23"/>
      <c r="T17" s="21"/>
      <c r="U17" s="24"/>
      <c r="V17" s="25">
        <f t="shared" si="1"/>
        <v>0</v>
      </c>
      <c r="W17" s="17">
        <f t="shared" si="2"/>
        <v>0</v>
      </c>
      <c r="X17" s="26"/>
      <c r="Y17" s="55"/>
      <c r="Z17" s="27"/>
      <c r="AB17" s="137"/>
      <c r="AE17" s="137"/>
    </row>
    <row r="18" spans="1:31">
      <c r="A18" s="170"/>
      <c r="B18" s="194"/>
      <c r="C18" s="19"/>
      <c r="D18" s="20"/>
      <c r="E18" s="20"/>
      <c r="F18" s="21"/>
      <c r="G18" s="21"/>
      <c r="H18" s="17">
        <f t="shared" si="0"/>
        <v>0</v>
      </c>
      <c r="I18" s="22"/>
      <c r="J18" s="23"/>
      <c r="K18" s="21"/>
      <c r="L18" s="24"/>
      <c r="M18" s="23"/>
      <c r="N18" s="21"/>
      <c r="O18" s="24"/>
      <c r="P18" s="23"/>
      <c r="Q18" s="21"/>
      <c r="R18" s="24"/>
      <c r="S18" s="23"/>
      <c r="T18" s="21"/>
      <c r="U18" s="24"/>
      <c r="V18" s="25">
        <f t="shared" si="1"/>
        <v>0</v>
      </c>
      <c r="W18" s="17">
        <f t="shared" si="2"/>
        <v>0</v>
      </c>
      <c r="X18" s="22"/>
      <c r="Y18" s="55"/>
      <c r="Z18" s="27"/>
      <c r="AB18" s="137"/>
      <c r="AE18" s="137"/>
    </row>
    <row r="19" spans="1:31" ht="79.5" customHeight="1">
      <c r="A19" s="170"/>
      <c r="B19" s="194"/>
      <c r="C19" s="178"/>
      <c r="D19" s="178"/>
      <c r="E19" s="20"/>
      <c r="F19" s="21"/>
      <c r="G19" s="21"/>
      <c r="H19" s="17">
        <f t="shared" si="0"/>
        <v>0</v>
      </c>
      <c r="I19" s="29"/>
      <c r="J19" s="23"/>
      <c r="K19" s="21"/>
      <c r="L19" s="24"/>
      <c r="M19" s="23"/>
      <c r="N19" s="21"/>
      <c r="O19" s="24"/>
      <c r="P19" s="23"/>
      <c r="Q19" s="21"/>
      <c r="R19" s="24"/>
      <c r="S19" s="23"/>
      <c r="T19" s="21"/>
      <c r="U19" s="24"/>
      <c r="V19" s="25">
        <f t="shared" si="1"/>
        <v>0</v>
      </c>
      <c r="W19" s="17">
        <f t="shared" si="2"/>
        <v>0</v>
      </c>
      <c r="X19" s="26"/>
      <c r="Y19" s="55"/>
      <c r="Z19" s="27"/>
      <c r="AB19" s="137"/>
      <c r="AE19" s="137"/>
    </row>
    <row r="20" spans="1:31">
      <c r="A20" s="170"/>
      <c r="B20" s="194"/>
      <c r="C20" s="179"/>
      <c r="D20" s="179"/>
      <c r="E20" s="20"/>
      <c r="F20" s="21"/>
      <c r="G20" s="21"/>
      <c r="H20" s="17">
        <f t="shared" si="0"/>
        <v>0</v>
      </c>
      <c r="I20" s="22"/>
      <c r="J20" s="23"/>
      <c r="K20" s="21"/>
      <c r="L20" s="24"/>
      <c r="M20" s="23"/>
      <c r="N20" s="21"/>
      <c r="O20" s="24"/>
      <c r="P20" s="23"/>
      <c r="Q20" s="21"/>
      <c r="R20" s="24"/>
      <c r="S20" s="23"/>
      <c r="T20" s="21"/>
      <c r="U20" s="24"/>
      <c r="V20" s="25">
        <f t="shared" si="1"/>
        <v>0</v>
      </c>
      <c r="W20" s="17">
        <f t="shared" si="2"/>
        <v>0</v>
      </c>
      <c r="X20" s="26"/>
      <c r="Y20" s="55"/>
      <c r="Z20" s="27"/>
      <c r="AB20" s="137"/>
      <c r="AE20" s="137"/>
    </row>
    <row r="21" spans="1:31">
      <c r="A21" s="170"/>
      <c r="B21" s="194"/>
      <c r="C21" s="19"/>
      <c r="D21" s="20"/>
      <c r="E21" s="20"/>
      <c r="F21" s="21"/>
      <c r="G21" s="21"/>
      <c r="H21" s="17">
        <f t="shared" si="0"/>
        <v>0</v>
      </c>
      <c r="I21" s="22"/>
      <c r="J21" s="23"/>
      <c r="K21" s="21"/>
      <c r="L21" s="24"/>
      <c r="M21" s="23"/>
      <c r="N21" s="21"/>
      <c r="O21" s="24"/>
      <c r="P21" s="23"/>
      <c r="Q21" s="21"/>
      <c r="R21" s="24"/>
      <c r="S21" s="23"/>
      <c r="T21" s="21"/>
      <c r="U21" s="24"/>
      <c r="V21" s="25">
        <f t="shared" si="1"/>
        <v>0</v>
      </c>
      <c r="W21" s="17">
        <f t="shared" si="2"/>
        <v>0</v>
      </c>
      <c r="X21" s="26"/>
      <c r="Y21" s="55"/>
      <c r="Z21" s="27"/>
      <c r="AB21" s="137"/>
      <c r="AE21" s="137"/>
    </row>
    <row r="22" spans="1:31" ht="37.5" customHeight="1">
      <c r="A22" s="170"/>
      <c r="B22" s="194"/>
      <c r="C22" s="19"/>
      <c r="D22" s="20"/>
      <c r="E22" s="20"/>
      <c r="F22" s="21"/>
      <c r="G22" s="21"/>
      <c r="H22" s="17">
        <f t="shared" si="0"/>
        <v>0</v>
      </c>
      <c r="I22" s="34"/>
      <c r="J22" s="23"/>
      <c r="K22" s="21"/>
      <c r="L22" s="24"/>
      <c r="M22" s="23"/>
      <c r="N22" s="21"/>
      <c r="O22" s="24"/>
      <c r="P22" s="23"/>
      <c r="Q22" s="21"/>
      <c r="R22" s="24"/>
      <c r="S22" s="23"/>
      <c r="T22" s="21"/>
      <c r="U22" s="24"/>
      <c r="V22" s="25">
        <f t="shared" si="1"/>
        <v>0</v>
      </c>
      <c r="W22" s="17">
        <f t="shared" si="2"/>
        <v>0</v>
      </c>
      <c r="X22" s="26"/>
      <c r="Y22" s="55"/>
      <c r="Z22" s="27"/>
      <c r="AB22" s="137"/>
      <c r="AE22" s="137"/>
    </row>
    <row r="23" spans="1:31">
      <c r="A23" s="170"/>
      <c r="B23" s="194"/>
      <c r="C23" s="19"/>
      <c r="D23" s="20"/>
      <c r="E23" s="20"/>
      <c r="F23" s="21"/>
      <c r="G23" s="21"/>
      <c r="H23" s="17">
        <f t="shared" si="0"/>
        <v>0</v>
      </c>
      <c r="I23" s="33"/>
      <c r="J23" s="23"/>
      <c r="K23" s="21"/>
      <c r="L23" s="24"/>
      <c r="M23" s="23"/>
      <c r="N23" s="21"/>
      <c r="O23" s="24"/>
      <c r="P23" s="23"/>
      <c r="Q23" s="21"/>
      <c r="R23" s="24"/>
      <c r="S23" s="23"/>
      <c r="T23" s="21"/>
      <c r="U23" s="24"/>
      <c r="V23" s="25">
        <f t="shared" si="1"/>
        <v>0</v>
      </c>
      <c r="W23" s="17">
        <f t="shared" si="2"/>
        <v>0</v>
      </c>
      <c r="X23" s="26"/>
      <c r="Y23" s="55"/>
      <c r="Z23" s="27"/>
      <c r="AB23" s="137"/>
      <c r="AE23" s="137"/>
    </row>
    <row r="24" spans="1:31">
      <c r="A24" s="170"/>
      <c r="B24" s="194"/>
      <c r="C24" s="19"/>
      <c r="D24" s="20"/>
      <c r="E24" s="20"/>
      <c r="F24" s="21"/>
      <c r="G24" s="21"/>
      <c r="H24" s="17">
        <f t="shared" si="0"/>
        <v>0</v>
      </c>
      <c r="I24" s="32"/>
      <c r="J24" s="23"/>
      <c r="K24" s="21"/>
      <c r="L24" s="24"/>
      <c r="M24" s="23"/>
      <c r="N24" s="21"/>
      <c r="O24" s="24"/>
      <c r="P24" s="23"/>
      <c r="Q24" s="21"/>
      <c r="R24" s="24"/>
      <c r="S24" s="23"/>
      <c r="T24" s="21"/>
      <c r="U24" s="24"/>
      <c r="V24" s="25">
        <f t="shared" si="1"/>
        <v>0</v>
      </c>
      <c r="W24" s="17">
        <f t="shared" si="2"/>
        <v>0</v>
      </c>
      <c r="X24" s="26"/>
      <c r="Y24" s="55"/>
      <c r="Z24" s="27"/>
      <c r="AB24" s="137"/>
      <c r="AE24" s="137"/>
    </row>
    <row r="25" spans="1:31">
      <c r="A25" s="170"/>
      <c r="B25" s="194"/>
      <c r="C25" s="19"/>
      <c r="D25" s="20"/>
      <c r="E25" s="20"/>
      <c r="F25" s="21"/>
      <c r="G25" s="21"/>
      <c r="H25" s="17">
        <f t="shared" si="0"/>
        <v>0</v>
      </c>
      <c r="I25" s="29"/>
      <c r="J25" s="23"/>
      <c r="K25" s="21"/>
      <c r="L25" s="24"/>
      <c r="M25" s="23"/>
      <c r="N25" s="21"/>
      <c r="O25" s="24"/>
      <c r="P25" s="23"/>
      <c r="Q25" s="21"/>
      <c r="R25" s="24"/>
      <c r="S25" s="23"/>
      <c r="T25" s="21"/>
      <c r="U25" s="24"/>
      <c r="V25" s="25">
        <f t="shared" si="1"/>
        <v>0</v>
      </c>
      <c r="W25" s="17">
        <f t="shared" si="2"/>
        <v>0</v>
      </c>
      <c r="X25" s="26"/>
      <c r="Y25" s="55"/>
      <c r="Z25" s="27"/>
      <c r="AB25" s="137"/>
      <c r="AE25" s="137"/>
    </row>
    <row r="26" spans="1:31" ht="33.75" customHeight="1">
      <c r="A26" s="170"/>
      <c r="B26" s="190"/>
      <c r="C26" s="19"/>
      <c r="D26" s="20"/>
      <c r="E26" s="20"/>
      <c r="F26" s="21"/>
      <c r="G26" s="21"/>
      <c r="H26" s="17">
        <f t="shared" si="0"/>
        <v>0</v>
      </c>
      <c r="I26" s="22"/>
      <c r="J26" s="23"/>
      <c r="K26" s="21"/>
      <c r="L26" s="24"/>
      <c r="M26" s="23"/>
      <c r="N26" s="21"/>
      <c r="O26" s="24"/>
      <c r="P26" s="23"/>
      <c r="Q26" s="21"/>
      <c r="R26" s="24"/>
      <c r="S26" s="23"/>
      <c r="T26" s="21"/>
      <c r="U26" s="24"/>
      <c r="V26" s="25">
        <f t="shared" si="1"/>
        <v>0</v>
      </c>
      <c r="W26" s="17">
        <f t="shared" si="2"/>
        <v>0</v>
      </c>
      <c r="X26" s="26"/>
      <c r="Y26" s="55"/>
      <c r="Z26" s="27"/>
      <c r="AB26" s="137"/>
      <c r="AE26" s="137"/>
    </row>
    <row r="27" spans="1:31">
      <c r="A27" s="171"/>
      <c r="B27" s="28"/>
      <c r="C27" s="56"/>
      <c r="D27" s="20"/>
      <c r="E27" s="20"/>
      <c r="F27" s="21"/>
      <c r="G27" s="21"/>
      <c r="H27" s="17">
        <f t="shared" si="0"/>
        <v>0</v>
      </c>
      <c r="I27" s="22"/>
      <c r="J27" s="23"/>
      <c r="K27" s="21"/>
      <c r="L27" s="24"/>
      <c r="M27" s="23"/>
      <c r="N27" s="21"/>
      <c r="O27" s="24"/>
      <c r="P27" s="23"/>
      <c r="Q27" s="21"/>
      <c r="R27" s="24"/>
      <c r="S27" s="23"/>
      <c r="T27" s="21"/>
      <c r="U27" s="24"/>
      <c r="V27" s="25">
        <f t="shared" si="1"/>
        <v>0</v>
      </c>
      <c r="W27" s="17">
        <f t="shared" si="2"/>
        <v>0</v>
      </c>
      <c r="X27" s="26"/>
      <c r="Y27" s="55"/>
      <c r="Z27" s="27"/>
      <c r="AB27" s="137"/>
      <c r="AE27" s="137"/>
    </row>
    <row r="28" spans="1:31" ht="25.5" customHeight="1">
      <c r="A28" s="58"/>
      <c r="B28" s="18" t="s">
        <v>110</v>
      </c>
      <c r="C28" s="19" t="s">
        <v>111</v>
      </c>
      <c r="D28" s="20" t="s">
        <v>112</v>
      </c>
      <c r="E28" s="20" t="s">
        <v>113</v>
      </c>
      <c r="F28" s="21">
        <v>5</v>
      </c>
      <c r="G28" s="21">
        <v>3</v>
      </c>
      <c r="H28" s="17">
        <f t="shared" si="0"/>
        <v>15</v>
      </c>
      <c r="I28" s="26"/>
      <c r="J28" s="23"/>
      <c r="K28" s="21"/>
      <c r="L28" s="24"/>
      <c r="M28" s="23"/>
      <c r="N28" s="21"/>
      <c r="O28" s="24"/>
      <c r="P28" s="23"/>
      <c r="Q28" s="21"/>
      <c r="R28" s="24"/>
      <c r="S28" s="23"/>
      <c r="T28" s="21"/>
      <c r="U28" s="24"/>
      <c r="V28" s="25">
        <f t="shared" si="1"/>
        <v>0</v>
      </c>
      <c r="W28" s="17">
        <f t="shared" si="2"/>
        <v>0</v>
      </c>
      <c r="X28" s="36"/>
      <c r="Y28" s="51"/>
      <c r="Z28" s="52"/>
      <c r="AB28" s="137"/>
      <c r="AE28" s="137"/>
    </row>
    <row r="29" spans="1:31" ht="25.5" customHeight="1">
      <c r="A29" s="191" t="s">
        <v>114</v>
      </c>
      <c r="B29" s="189" t="s">
        <v>115</v>
      </c>
      <c r="C29" s="57" t="s">
        <v>116</v>
      </c>
      <c r="D29" s="20" t="s">
        <v>117</v>
      </c>
      <c r="E29" s="20" t="s">
        <v>118</v>
      </c>
      <c r="F29" s="21">
        <v>4</v>
      </c>
      <c r="G29" s="21">
        <v>2</v>
      </c>
      <c r="H29" s="17">
        <f t="shared" si="0"/>
        <v>8</v>
      </c>
      <c r="I29" s="22"/>
      <c r="J29" s="23"/>
      <c r="K29" s="21"/>
      <c r="L29" s="24"/>
      <c r="M29" s="23"/>
      <c r="N29" s="21"/>
      <c r="O29" s="24"/>
      <c r="P29" s="23"/>
      <c r="Q29" s="21"/>
      <c r="R29" s="24"/>
      <c r="S29" s="23"/>
      <c r="T29" s="21"/>
      <c r="U29" s="24"/>
      <c r="V29" s="25">
        <f t="shared" si="1"/>
        <v>0</v>
      </c>
      <c r="W29" s="17">
        <f t="shared" si="2"/>
        <v>0</v>
      </c>
      <c r="X29" s="26"/>
      <c r="Y29" s="55"/>
      <c r="Z29" s="27"/>
      <c r="AB29" s="137"/>
      <c r="AE29" s="137"/>
    </row>
    <row r="30" spans="1:31" ht="38.25" customHeight="1">
      <c r="A30" s="170"/>
      <c r="B30" s="194"/>
      <c r="C30" s="57" t="s">
        <v>119</v>
      </c>
      <c r="D30" s="20" t="s">
        <v>120</v>
      </c>
      <c r="E30" s="20" t="s">
        <v>121</v>
      </c>
      <c r="F30" s="21">
        <v>4</v>
      </c>
      <c r="G30" s="21">
        <v>2</v>
      </c>
      <c r="H30" s="17">
        <f t="shared" si="0"/>
        <v>8</v>
      </c>
      <c r="I30" s="22"/>
      <c r="J30" s="23"/>
      <c r="K30" s="21"/>
      <c r="L30" s="24"/>
      <c r="M30" s="23"/>
      <c r="N30" s="21"/>
      <c r="O30" s="24"/>
      <c r="P30" s="23"/>
      <c r="Q30" s="21"/>
      <c r="R30" s="24"/>
      <c r="S30" s="23"/>
      <c r="T30" s="21"/>
      <c r="U30" s="24"/>
      <c r="V30" s="25">
        <f t="shared" si="1"/>
        <v>0</v>
      </c>
      <c r="W30" s="17">
        <f t="shared" si="2"/>
        <v>0</v>
      </c>
      <c r="X30" s="26"/>
      <c r="Y30" s="55"/>
      <c r="Z30" s="27"/>
      <c r="AB30" s="137"/>
      <c r="AE30" s="137"/>
    </row>
    <row r="31" spans="1:31" ht="25.5" customHeight="1">
      <c r="A31" s="170"/>
      <c r="B31" s="190"/>
      <c r="C31" s="20" t="s">
        <v>122</v>
      </c>
      <c r="D31" s="20" t="s">
        <v>123</v>
      </c>
      <c r="E31" s="20" t="s">
        <v>118</v>
      </c>
      <c r="F31" s="21">
        <v>5</v>
      </c>
      <c r="G31" s="21">
        <v>2</v>
      </c>
      <c r="H31" s="17">
        <f t="shared" si="0"/>
        <v>10</v>
      </c>
      <c r="I31" s="26"/>
      <c r="J31" s="23"/>
      <c r="K31" s="21"/>
      <c r="L31" s="24"/>
      <c r="M31" s="23"/>
      <c r="N31" s="21"/>
      <c r="O31" s="24"/>
      <c r="P31" s="23"/>
      <c r="Q31" s="21"/>
      <c r="R31" s="24"/>
      <c r="S31" s="23"/>
      <c r="T31" s="21"/>
      <c r="U31" s="24"/>
      <c r="V31" s="25">
        <f t="shared" si="1"/>
        <v>0</v>
      </c>
      <c r="W31" s="17">
        <f t="shared" si="2"/>
        <v>0</v>
      </c>
      <c r="X31" s="26"/>
      <c r="Y31" s="55"/>
      <c r="Z31" s="27"/>
      <c r="AB31" s="137"/>
      <c r="AE31" s="137"/>
    </row>
    <row r="32" spans="1:31" ht="25.5" customHeight="1">
      <c r="A32" s="170"/>
      <c r="B32" s="20" t="s">
        <v>124</v>
      </c>
      <c r="C32" s="19" t="s">
        <v>125</v>
      </c>
      <c r="D32" s="20" t="s">
        <v>126</v>
      </c>
      <c r="E32" s="20" t="s">
        <v>127</v>
      </c>
      <c r="F32" s="21">
        <v>5</v>
      </c>
      <c r="G32" s="21">
        <v>2</v>
      </c>
      <c r="H32" s="17">
        <f t="shared" si="0"/>
        <v>10</v>
      </c>
      <c r="I32" s="26"/>
      <c r="J32" s="23"/>
      <c r="K32" s="21"/>
      <c r="L32" s="24"/>
      <c r="M32" s="23"/>
      <c r="N32" s="21"/>
      <c r="O32" s="24"/>
      <c r="P32" s="23"/>
      <c r="Q32" s="21"/>
      <c r="R32" s="24"/>
      <c r="S32" s="23"/>
      <c r="T32" s="21"/>
      <c r="U32" s="24"/>
      <c r="V32" s="25">
        <f t="shared" si="1"/>
        <v>0</v>
      </c>
      <c r="W32" s="17">
        <f t="shared" si="2"/>
        <v>0</v>
      </c>
      <c r="X32" s="26"/>
      <c r="Y32" s="55"/>
      <c r="Z32" s="27"/>
      <c r="AB32" s="137"/>
      <c r="AE32" s="137"/>
    </row>
    <row r="33" spans="1:31">
      <c r="A33" s="183" t="s">
        <v>128</v>
      </c>
      <c r="B33" s="189" t="s">
        <v>118</v>
      </c>
      <c r="C33" s="19" t="s">
        <v>129</v>
      </c>
      <c r="D33" s="19" t="s">
        <v>130</v>
      </c>
      <c r="E33" s="178" t="s">
        <v>131</v>
      </c>
      <c r="F33" s="21">
        <v>5</v>
      </c>
      <c r="G33" s="21">
        <v>2</v>
      </c>
      <c r="H33" s="48">
        <f t="shared" si="0"/>
        <v>10</v>
      </c>
      <c r="I33" s="26"/>
      <c r="J33" s="23"/>
      <c r="K33" s="21"/>
      <c r="L33" s="24"/>
      <c r="M33" s="23"/>
      <c r="N33" s="21"/>
      <c r="O33" s="24"/>
      <c r="P33" s="23"/>
      <c r="Q33" s="21"/>
      <c r="R33" s="24"/>
      <c r="S33" s="23"/>
      <c r="T33" s="21"/>
      <c r="U33" s="24"/>
      <c r="V33" s="25">
        <f t="shared" si="1"/>
        <v>0</v>
      </c>
      <c r="W33" s="17">
        <f t="shared" si="2"/>
        <v>0</v>
      </c>
      <c r="X33" s="26"/>
      <c r="Y33" s="55"/>
      <c r="Z33" s="27"/>
      <c r="AB33" s="137"/>
      <c r="AE33" s="137"/>
    </row>
    <row r="34" spans="1:31" ht="25.5" customHeight="1">
      <c r="A34" s="170"/>
      <c r="B34" s="190"/>
      <c r="C34" s="19" t="s">
        <v>132</v>
      </c>
      <c r="D34" s="20" t="s">
        <v>133</v>
      </c>
      <c r="E34" s="179"/>
      <c r="F34" s="21">
        <v>4</v>
      </c>
      <c r="G34" s="21">
        <v>2</v>
      </c>
      <c r="H34" s="48">
        <f t="shared" si="0"/>
        <v>8</v>
      </c>
      <c r="I34" s="26"/>
      <c r="J34" s="23"/>
      <c r="K34" s="21"/>
      <c r="L34" s="24"/>
      <c r="M34" s="23"/>
      <c r="N34" s="21"/>
      <c r="O34" s="24"/>
      <c r="P34" s="23"/>
      <c r="Q34" s="21"/>
      <c r="R34" s="24"/>
      <c r="S34" s="23"/>
      <c r="T34" s="21"/>
      <c r="U34" s="24"/>
      <c r="V34" s="25">
        <f t="shared" si="1"/>
        <v>0</v>
      </c>
      <c r="W34" s="17">
        <f t="shared" si="2"/>
        <v>0</v>
      </c>
      <c r="X34" s="26"/>
      <c r="Y34" s="55"/>
      <c r="Z34" s="27"/>
      <c r="AB34" s="137"/>
      <c r="AE34" s="137"/>
    </row>
    <row r="35" spans="1:31">
      <c r="A35" s="170"/>
      <c r="B35" s="18" t="s">
        <v>134</v>
      </c>
      <c r="C35" s="19" t="s">
        <v>135</v>
      </c>
      <c r="D35" s="20" t="s">
        <v>136</v>
      </c>
      <c r="E35" s="31" t="s">
        <v>131</v>
      </c>
      <c r="F35" s="21">
        <v>5</v>
      </c>
      <c r="G35" s="21">
        <v>2</v>
      </c>
      <c r="H35" s="48">
        <f t="shared" si="0"/>
        <v>10</v>
      </c>
      <c r="I35" s="22"/>
      <c r="J35" s="23"/>
      <c r="K35" s="21"/>
      <c r="L35" s="24"/>
      <c r="M35" s="23"/>
      <c r="N35" s="21"/>
      <c r="O35" s="24"/>
      <c r="P35" s="23"/>
      <c r="Q35" s="21"/>
      <c r="R35" s="24"/>
      <c r="S35" s="23"/>
      <c r="T35" s="21"/>
      <c r="U35" s="24"/>
      <c r="V35" s="25">
        <f t="shared" si="1"/>
        <v>0</v>
      </c>
      <c r="W35" s="17">
        <f t="shared" si="2"/>
        <v>0</v>
      </c>
      <c r="X35" s="26"/>
      <c r="Y35" s="26"/>
      <c r="Z35" s="27"/>
      <c r="AB35" s="137"/>
      <c r="AE35" s="137"/>
    </row>
    <row r="36" spans="1:31" ht="25.5" customHeight="1">
      <c r="A36" s="170"/>
      <c r="B36" s="28" t="s">
        <v>124</v>
      </c>
      <c r="C36" s="19" t="s">
        <v>125</v>
      </c>
      <c r="D36" s="20" t="s">
        <v>126</v>
      </c>
      <c r="E36" s="20" t="s">
        <v>127</v>
      </c>
      <c r="F36" s="21">
        <v>5</v>
      </c>
      <c r="G36" s="21">
        <v>2</v>
      </c>
      <c r="H36" s="17">
        <f t="shared" si="0"/>
        <v>10</v>
      </c>
      <c r="I36" s="26"/>
      <c r="J36" s="23"/>
      <c r="K36" s="21"/>
      <c r="L36" s="24"/>
      <c r="M36" s="23"/>
      <c r="N36" s="21"/>
      <c r="O36" s="24"/>
      <c r="P36" s="23"/>
      <c r="Q36" s="21"/>
      <c r="R36" s="24"/>
      <c r="S36" s="23"/>
      <c r="T36" s="21"/>
      <c r="U36" s="24"/>
      <c r="V36" s="25">
        <f t="shared" si="1"/>
        <v>0</v>
      </c>
      <c r="W36" s="17">
        <f t="shared" si="2"/>
        <v>0</v>
      </c>
      <c r="X36" s="26"/>
      <c r="Y36" s="55"/>
      <c r="Z36" s="27"/>
      <c r="AB36" s="137"/>
      <c r="AE36" s="137"/>
    </row>
    <row r="37" spans="1:31" ht="25.5" customHeight="1">
      <c r="A37" s="170"/>
      <c r="B37" s="28" t="s">
        <v>137</v>
      </c>
      <c r="C37" s="19" t="s">
        <v>138</v>
      </c>
      <c r="D37" s="20" t="s">
        <v>139</v>
      </c>
      <c r="E37" s="20" t="s">
        <v>140</v>
      </c>
      <c r="F37" s="21">
        <v>3</v>
      </c>
      <c r="G37" s="21">
        <v>3</v>
      </c>
      <c r="H37" s="17">
        <f t="shared" si="0"/>
        <v>9</v>
      </c>
      <c r="I37" s="26"/>
      <c r="J37" s="23"/>
      <c r="K37" s="21"/>
      <c r="L37" s="24"/>
      <c r="M37" s="23"/>
      <c r="N37" s="21"/>
      <c r="O37" s="24"/>
      <c r="P37" s="23"/>
      <c r="Q37" s="21"/>
      <c r="R37" s="24"/>
      <c r="S37" s="23"/>
      <c r="T37" s="21"/>
      <c r="U37" s="24"/>
      <c r="V37" s="25">
        <f t="shared" si="1"/>
        <v>0</v>
      </c>
      <c r="W37" s="17">
        <f t="shared" si="2"/>
        <v>0</v>
      </c>
      <c r="X37" s="26"/>
      <c r="Y37" s="55"/>
      <c r="Z37" s="27"/>
      <c r="AB37" s="137"/>
      <c r="AE37" s="137"/>
    </row>
    <row r="38" spans="1:31" ht="38.25" customHeight="1">
      <c r="A38" s="170"/>
      <c r="B38" s="28" t="s">
        <v>141</v>
      </c>
      <c r="C38" s="19" t="s">
        <v>142</v>
      </c>
      <c r="D38" s="20" t="s">
        <v>143</v>
      </c>
      <c r="E38" s="20" t="s">
        <v>131</v>
      </c>
      <c r="F38" s="21">
        <v>3</v>
      </c>
      <c r="G38" s="21">
        <v>2</v>
      </c>
      <c r="H38" s="17">
        <f t="shared" ref="H38:H69" si="3">F38*G38</f>
        <v>6</v>
      </c>
      <c r="I38" s="26"/>
      <c r="J38" s="23"/>
      <c r="K38" s="21"/>
      <c r="L38" s="24"/>
      <c r="M38" s="23"/>
      <c r="N38" s="21"/>
      <c r="O38" s="24"/>
      <c r="P38" s="23"/>
      <c r="Q38" s="21"/>
      <c r="R38" s="24"/>
      <c r="S38" s="23"/>
      <c r="T38" s="21"/>
      <c r="U38" s="24"/>
      <c r="V38" s="25">
        <f t="shared" ref="V38:V69" si="4">SUM(J38:L38)*SUM(M38:O38)*SUM(P38:R38)*SUM(S38:U38)/4</f>
        <v>0</v>
      </c>
      <c r="W38" s="17">
        <f t="shared" ref="W38:W69" si="5">IFERROR(H38/V38,0)</f>
        <v>0</v>
      </c>
      <c r="X38" s="26"/>
      <c r="Y38" s="55"/>
      <c r="Z38" s="27"/>
      <c r="AB38" s="137"/>
      <c r="AE38" s="137"/>
    </row>
    <row r="39" spans="1:31" ht="25.5" customHeight="1">
      <c r="A39" s="171"/>
      <c r="B39" s="18" t="s">
        <v>144</v>
      </c>
      <c r="C39" s="19" t="s">
        <v>145</v>
      </c>
      <c r="D39" s="20" t="s">
        <v>146</v>
      </c>
      <c r="E39" s="20" t="s">
        <v>147</v>
      </c>
      <c r="F39" s="21">
        <v>4</v>
      </c>
      <c r="G39" s="21">
        <v>2</v>
      </c>
      <c r="H39" s="17">
        <f t="shared" si="3"/>
        <v>8</v>
      </c>
      <c r="I39" s="22"/>
      <c r="J39" s="23"/>
      <c r="K39" s="21"/>
      <c r="L39" s="24"/>
      <c r="M39" s="23"/>
      <c r="N39" s="21"/>
      <c r="O39" s="24"/>
      <c r="P39" s="23"/>
      <c r="Q39" s="21"/>
      <c r="R39" s="24"/>
      <c r="S39" s="23"/>
      <c r="T39" s="21"/>
      <c r="U39" s="24"/>
      <c r="V39" s="25">
        <f t="shared" si="4"/>
        <v>0</v>
      </c>
      <c r="W39" s="17">
        <f t="shared" si="5"/>
        <v>0</v>
      </c>
      <c r="X39" s="26"/>
      <c r="Y39" s="55"/>
      <c r="Z39" s="27"/>
      <c r="AB39" s="137"/>
      <c r="AE39" s="137"/>
    </row>
    <row r="40" spans="1:31" ht="33.75" customHeight="1">
      <c r="A40" s="37"/>
      <c r="B40" s="18"/>
      <c r="C40" s="19"/>
      <c r="D40" s="20"/>
      <c r="E40" s="20"/>
      <c r="F40" s="21"/>
      <c r="G40" s="21"/>
      <c r="H40" s="17">
        <f t="shared" si="3"/>
        <v>0</v>
      </c>
      <c r="I40" s="29"/>
      <c r="J40" s="23"/>
      <c r="K40" s="21"/>
      <c r="L40" s="24"/>
      <c r="M40" s="23"/>
      <c r="N40" s="21"/>
      <c r="O40" s="24"/>
      <c r="P40" s="23"/>
      <c r="Q40" s="21"/>
      <c r="R40" s="24"/>
      <c r="S40" s="23"/>
      <c r="T40" s="21"/>
      <c r="U40" s="24"/>
      <c r="V40" s="25">
        <f t="shared" si="4"/>
        <v>0</v>
      </c>
      <c r="W40" s="17">
        <f t="shared" si="5"/>
        <v>0</v>
      </c>
      <c r="X40" s="26"/>
      <c r="Y40" s="26"/>
      <c r="Z40" s="27"/>
      <c r="AB40" s="137"/>
      <c r="AE40" s="137"/>
    </row>
    <row r="41" spans="1:31" ht="33.75" customHeight="1">
      <c r="A41" s="37"/>
      <c r="B41" s="35"/>
      <c r="C41" s="19"/>
      <c r="D41" s="20"/>
      <c r="E41" s="20"/>
      <c r="F41" s="21"/>
      <c r="G41" s="21"/>
      <c r="H41" s="17">
        <f t="shared" si="3"/>
        <v>0</v>
      </c>
      <c r="I41" s="22"/>
      <c r="J41" s="23"/>
      <c r="K41" s="21"/>
      <c r="L41" s="24"/>
      <c r="M41" s="23"/>
      <c r="N41" s="21"/>
      <c r="O41" s="24"/>
      <c r="P41" s="23"/>
      <c r="Q41" s="21"/>
      <c r="R41" s="24"/>
      <c r="S41" s="23"/>
      <c r="T41" s="21"/>
      <c r="U41" s="24"/>
      <c r="V41" s="25">
        <f t="shared" si="4"/>
        <v>0</v>
      </c>
      <c r="W41" s="17">
        <f t="shared" si="5"/>
        <v>0</v>
      </c>
      <c r="X41" s="26"/>
      <c r="Y41" s="26"/>
      <c r="Z41" s="27"/>
      <c r="AB41" s="137"/>
      <c r="AE41" s="137"/>
    </row>
    <row r="42" spans="1:31" ht="33.75" customHeight="1">
      <c r="A42" s="37"/>
      <c r="B42" s="30"/>
      <c r="C42" s="19"/>
      <c r="D42" s="20"/>
      <c r="E42" s="20"/>
      <c r="F42" s="21"/>
      <c r="G42" s="21"/>
      <c r="H42" s="17">
        <f t="shared" si="3"/>
        <v>0</v>
      </c>
      <c r="I42" s="22"/>
      <c r="J42" s="23"/>
      <c r="K42" s="21"/>
      <c r="L42" s="24"/>
      <c r="M42" s="23"/>
      <c r="N42" s="21"/>
      <c r="O42" s="24"/>
      <c r="P42" s="23"/>
      <c r="Q42" s="21"/>
      <c r="R42" s="24"/>
      <c r="S42" s="23"/>
      <c r="T42" s="21"/>
      <c r="U42" s="24"/>
      <c r="V42" s="25">
        <f t="shared" si="4"/>
        <v>0</v>
      </c>
      <c r="W42" s="17">
        <f t="shared" si="5"/>
        <v>0</v>
      </c>
      <c r="X42" s="26"/>
      <c r="Y42" s="26"/>
      <c r="Z42" s="27"/>
      <c r="AB42" s="137"/>
      <c r="AE42" s="137"/>
    </row>
    <row r="43" spans="1:31" ht="33.75" customHeight="1">
      <c r="A43" s="37"/>
      <c r="B43" s="28"/>
      <c r="C43" s="19"/>
      <c r="D43" s="20"/>
      <c r="E43" s="20"/>
      <c r="F43" s="21"/>
      <c r="G43" s="21"/>
      <c r="H43" s="17">
        <f t="shared" si="3"/>
        <v>0</v>
      </c>
      <c r="I43" s="22"/>
      <c r="J43" s="23"/>
      <c r="K43" s="21"/>
      <c r="L43" s="24"/>
      <c r="M43" s="23"/>
      <c r="N43" s="21"/>
      <c r="O43" s="24"/>
      <c r="P43" s="23"/>
      <c r="Q43" s="21"/>
      <c r="R43" s="24"/>
      <c r="S43" s="23"/>
      <c r="T43" s="21"/>
      <c r="U43" s="24"/>
      <c r="V43" s="25">
        <f t="shared" si="4"/>
        <v>0</v>
      </c>
      <c r="W43" s="17">
        <f t="shared" si="5"/>
        <v>0</v>
      </c>
      <c r="X43" s="26"/>
      <c r="Y43" s="26"/>
      <c r="Z43" s="27"/>
      <c r="AB43" s="137"/>
      <c r="AE43" s="137"/>
    </row>
    <row r="44" spans="1:31" ht="33.75" customHeight="1">
      <c r="A44" s="37"/>
      <c r="B44" s="18"/>
      <c r="C44" s="19"/>
      <c r="D44" s="20"/>
      <c r="E44" s="20"/>
      <c r="F44" s="21"/>
      <c r="G44" s="21"/>
      <c r="H44" s="17">
        <f t="shared" si="3"/>
        <v>0</v>
      </c>
      <c r="I44" s="22"/>
      <c r="J44" s="23"/>
      <c r="K44" s="21"/>
      <c r="L44" s="24"/>
      <c r="M44" s="23"/>
      <c r="N44" s="21"/>
      <c r="O44" s="24"/>
      <c r="P44" s="23"/>
      <c r="Q44" s="21"/>
      <c r="R44" s="24"/>
      <c r="S44" s="23"/>
      <c r="T44" s="21"/>
      <c r="U44" s="24"/>
      <c r="V44" s="25">
        <f t="shared" si="4"/>
        <v>0</v>
      </c>
      <c r="W44" s="17">
        <f t="shared" si="5"/>
        <v>0</v>
      </c>
      <c r="X44" s="26"/>
      <c r="Y44" s="26"/>
      <c r="Z44" s="27"/>
      <c r="AB44" s="137"/>
      <c r="AE44" s="137"/>
    </row>
    <row r="45" spans="1:31" ht="33.75" customHeight="1">
      <c r="A45" s="37"/>
      <c r="B45" s="18"/>
      <c r="C45" s="19"/>
      <c r="D45" s="20"/>
      <c r="E45" s="20"/>
      <c r="F45" s="21"/>
      <c r="G45" s="21"/>
      <c r="H45" s="17">
        <f t="shared" si="3"/>
        <v>0</v>
      </c>
      <c r="I45" s="34"/>
      <c r="J45" s="23"/>
      <c r="K45" s="21"/>
      <c r="L45" s="24"/>
      <c r="M45" s="23"/>
      <c r="N45" s="21"/>
      <c r="O45" s="24"/>
      <c r="P45" s="23"/>
      <c r="Q45" s="21"/>
      <c r="R45" s="24"/>
      <c r="S45" s="23"/>
      <c r="T45" s="21"/>
      <c r="U45" s="24"/>
      <c r="V45" s="25">
        <f t="shared" si="4"/>
        <v>0</v>
      </c>
      <c r="W45" s="17">
        <f t="shared" si="5"/>
        <v>0</v>
      </c>
      <c r="X45" s="26"/>
      <c r="Y45" s="26"/>
      <c r="Z45" s="27"/>
      <c r="AB45" s="137"/>
      <c r="AE45" s="137"/>
    </row>
    <row r="46" spans="1:31" ht="33.75" customHeight="1">
      <c r="A46" s="37"/>
      <c r="B46" s="35"/>
      <c r="C46" s="19"/>
      <c r="D46" s="20"/>
      <c r="E46" s="20"/>
      <c r="F46" s="21"/>
      <c r="G46" s="21"/>
      <c r="H46" s="17">
        <f t="shared" si="3"/>
        <v>0</v>
      </c>
      <c r="I46" s="22"/>
      <c r="J46" s="23"/>
      <c r="K46" s="21"/>
      <c r="L46" s="24"/>
      <c r="M46" s="23"/>
      <c r="N46" s="21"/>
      <c r="O46" s="24"/>
      <c r="P46" s="23"/>
      <c r="Q46" s="21"/>
      <c r="R46" s="24"/>
      <c r="S46" s="23"/>
      <c r="T46" s="21"/>
      <c r="U46" s="24"/>
      <c r="V46" s="25">
        <f t="shared" si="4"/>
        <v>0</v>
      </c>
      <c r="W46" s="17">
        <f t="shared" si="5"/>
        <v>0</v>
      </c>
      <c r="X46" s="26"/>
      <c r="Y46" s="26"/>
      <c r="Z46" s="27"/>
      <c r="AB46" s="137"/>
      <c r="AE46" s="137"/>
    </row>
    <row r="47" spans="1:31" ht="33.75" customHeight="1">
      <c r="A47" s="37"/>
      <c r="B47" s="28"/>
      <c r="C47" s="19"/>
      <c r="D47" s="20"/>
      <c r="E47" s="20"/>
      <c r="F47" s="21"/>
      <c r="G47" s="21"/>
      <c r="H47" s="17">
        <f t="shared" si="3"/>
        <v>0</v>
      </c>
      <c r="I47" s="22"/>
      <c r="J47" s="23"/>
      <c r="K47" s="21"/>
      <c r="L47" s="24"/>
      <c r="M47" s="23"/>
      <c r="N47" s="21"/>
      <c r="O47" s="24"/>
      <c r="P47" s="23"/>
      <c r="Q47" s="21"/>
      <c r="R47" s="24"/>
      <c r="S47" s="23"/>
      <c r="T47" s="21"/>
      <c r="U47" s="24"/>
      <c r="V47" s="25">
        <f t="shared" si="4"/>
        <v>0</v>
      </c>
      <c r="W47" s="17">
        <f t="shared" si="5"/>
        <v>0</v>
      </c>
      <c r="X47" s="26"/>
      <c r="Y47" s="26"/>
      <c r="Z47" s="27"/>
      <c r="AB47" s="137"/>
      <c r="AE47" s="137"/>
    </row>
    <row r="48" spans="1:31" ht="33.75" customHeight="1">
      <c r="A48" s="37"/>
      <c r="B48" s="35"/>
      <c r="C48" s="19"/>
      <c r="D48" s="20"/>
      <c r="E48" s="20"/>
      <c r="F48" s="21"/>
      <c r="G48" s="21"/>
      <c r="H48" s="17">
        <f t="shared" si="3"/>
        <v>0</v>
      </c>
      <c r="I48" s="22"/>
      <c r="J48" s="23"/>
      <c r="K48" s="21"/>
      <c r="L48" s="24"/>
      <c r="M48" s="23"/>
      <c r="N48" s="21"/>
      <c r="O48" s="24"/>
      <c r="P48" s="23"/>
      <c r="Q48" s="21"/>
      <c r="R48" s="24"/>
      <c r="S48" s="23"/>
      <c r="T48" s="21"/>
      <c r="U48" s="24"/>
      <c r="V48" s="25">
        <f t="shared" si="4"/>
        <v>0</v>
      </c>
      <c r="W48" s="17">
        <f t="shared" si="5"/>
        <v>0</v>
      </c>
      <c r="X48" s="26"/>
      <c r="Y48" s="26"/>
      <c r="Z48" s="27"/>
      <c r="AB48" s="137"/>
      <c r="AE48" s="137"/>
    </row>
    <row r="49" spans="1:31" ht="33.75" customHeight="1">
      <c r="A49" s="37"/>
      <c r="B49" s="30"/>
      <c r="C49" s="19"/>
      <c r="D49" s="20"/>
      <c r="E49" s="20"/>
      <c r="F49" s="21"/>
      <c r="G49" s="21"/>
      <c r="H49" s="17">
        <f t="shared" si="3"/>
        <v>0</v>
      </c>
      <c r="I49" s="22"/>
      <c r="J49" s="23"/>
      <c r="K49" s="21"/>
      <c r="L49" s="24"/>
      <c r="M49" s="23"/>
      <c r="N49" s="21"/>
      <c r="O49" s="24"/>
      <c r="P49" s="23"/>
      <c r="Q49" s="21"/>
      <c r="R49" s="24"/>
      <c r="S49" s="23"/>
      <c r="T49" s="21"/>
      <c r="U49" s="24"/>
      <c r="V49" s="25">
        <f t="shared" si="4"/>
        <v>0</v>
      </c>
      <c r="W49" s="17">
        <f t="shared" si="5"/>
        <v>0</v>
      </c>
      <c r="X49" s="26"/>
      <c r="Y49" s="26"/>
      <c r="Z49" s="27"/>
      <c r="AB49" s="137"/>
      <c r="AE49" s="137"/>
    </row>
    <row r="50" spans="1:31" ht="33.75" customHeight="1">
      <c r="A50" s="37"/>
      <c r="B50" s="30"/>
      <c r="C50" s="19"/>
      <c r="D50" s="20"/>
      <c r="E50" s="20"/>
      <c r="F50" s="21"/>
      <c r="G50" s="21"/>
      <c r="H50" s="17">
        <f t="shared" si="3"/>
        <v>0</v>
      </c>
      <c r="I50" s="33"/>
      <c r="J50" s="23"/>
      <c r="K50" s="21"/>
      <c r="L50" s="24"/>
      <c r="M50" s="23"/>
      <c r="N50" s="21"/>
      <c r="O50" s="24"/>
      <c r="P50" s="23"/>
      <c r="Q50" s="21"/>
      <c r="R50" s="24"/>
      <c r="S50" s="23"/>
      <c r="T50" s="21"/>
      <c r="U50" s="24"/>
      <c r="V50" s="25">
        <f t="shared" si="4"/>
        <v>0</v>
      </c>
      <c r="W50" s="17">
        <f t="shared" si="5"/>
        <v>0</v>
      </c>
      <c r="X50" s="26"/>
      <c r="Y50" s="26"/>
      <c r="Z50" s="27"/>
      <c r="AB50" s="137"/>
      <c r="AE50" s="137"/>
    </row>
    <row r="51" spans="1:31" ht="33.75" customHeight="1">
      <c r="A51" s="37"/>
      <c r="B51" s="30"/>
      <c r="C51" s="19"/>
      <c r="D51" s="20"/>
      <c r="E51" s="20"/>
      <c r="F51" s="21"/>
      <c r="G51" s="21"/>
      <c r="H51" s="17">
        <f t="shared" si="3"/>
        <v>0</v>
      </c>
      <c r="I51" s="26"/>
      <c r="J51" s="23"/>
      <c r="K51" s="21"/>
      <c r="L51" s="24"/>
      <c r="M51" s="23"/>
      <c r="N51" s="21"/>
      <c r="O51" s="24"/>
      <c r="P51" s="23"/>
      <c r="Q51" s="21"/>
      <c r="R51" s="24"/>
      <c r="S51" s="23"/>
      <c r="T51" s="21"/>
      <c r="U51" s="24"/>
      <c r="V51" s="25">
        <f t="shared" si="4"/>
        <v>0</v>
      </c>
      <c r="W51" s="17">
        <f t="shared" si="5"/>
        <v>0</v>
      </c>
      <c r="X51" s="26"/>
      <c r="Y51" s="26"/>
      <c r="Z51" s="27"/>
      <c r="AB51" s="137"/>
      <c r="AE51" s="137"/>
    </row>
    <row r="52" spans="1:31" ht="33.75" customHeight="1">
      <c r="A52" s="37"/>
      <c r="B52" s="28"/>
      <c r="C52" s="19"/>
      <c r="D52" s="20"/>
      <c r="E52" s="20"/>
      <c r="F52" s="21"/>
      <c r="G52" s="21"/>
      <c r="H52" s="17">
        <f t="shared" si="3"/>
        <v>0</v>
      </c>
      <c r="I52" s="22"/>
      <c r="J52" s="23"/>
      <c r="K52" s="21"/>
      <c r="L52" s="24"/>
      <c r="M52" s="23"/>
      <c r="N52" s="21"/>
      <c r="O52" s="24"/>
      <c r="P52" s="23"/>
      <c r="Q52" s="21"/>
      <c r="R52" s="24"/>
      <c r="S52" s="23"/>
      <c r="T52" s="21"/>
      <c r="U52" s="24"/>
      <c r="V52" s="25">
        <f t="shared" si="4"/>
        <v>0</v>
      </c>
      <c r="W52" s="17">
        <f t="shared" si="5"/>
        <v>0</v>
      </c>
      <c r="X52" s="26"/>
      <c r="Y52" s="26"/>
      <c r="Z52" s="27"/>
      <c r="AB52" s="137"/>
      <c r="AE52" s="137"/>
    </row>
    <row r="53" spans="1:31" ht="33.75" customHeight="1">
      <c r="A53" s="37"/>
      <c r="B53" s="18"/>
      <c r="C53" s="19"/>
      <c r="D53" s="20"/>
      <c r="E53" s="20"/>
      <c r="F53" s="21"/>
      <c r="G53" s="21"/>
      <c r="H53" s="17">
        <f t="shared" si="3"/>
        <v>0</v>
      </c>
      <c r="I53" s="22"/>
      <c r="J53" s="23"/>
      <c r="K53" s="21"/>
      <c r="L53" s="24"/>
      <c r="M53" s="23"/>
      <c r="N53" s="21"/>
      <c r="O53" s="24"/>
      <c r="P53" s="23"/>
      <c r="Q53" s="21"/>
      <c r="R53" s="24"/>
      <c r="S53" s="23"/>
      <c r="T53" s="21"/>
      <c r="U53" s="24"/>
      <c r="V53" s="25">
        <f t="shared" si="4"/>
        <v>0</v>
      </c>
      <c r="W53" s="17">
        <f t="shared" si="5"/>
        <v>0</v>
      </c>
      <c r="X53" s="26"/>
      <c r="Y53" s="26"/>
      <c r="Z53" s="27"/>
      <c r="AB53" s="137"/>
      <c r="AE53" s="137"/>
    </row>
    <row r="54" spans="1:31" ht="33.75" customHeight="1">
      <c r="A54" s="37"/>
      <c r="B54" s="18"/>
      <c r="C54" s="19"/>
      <c r="D54" s="20"/>
      <c r="E54" s="20"/>
      <c r="F54" s="21"/>
      <c r="G54" s="21"/>
      <c r="H54" s="17">
        <f t="shared" si="3"/>
        <v>0</v>
      </c>
      <c r="I54" s="22"/>
      <c r="J54" s="23"/>
      <c r="K54" s="21"/>
      <c r="L54" s="24"/>
      <c r="M54" s="23"/>
      <c r="N54" s="21"/>
      <c r="O54" s="24"/>
      <c r="P54" s="23"/>
      <c r="Q54" s="21"/>
      <c r="R54" s="24"/>
      <c r="S54" s="23"/>
      <c r="T54" s="21"/>
      <c r="U54" s="24"/>
      <c r="V54" s="25">
        <f t="shared" si="4"/>
        <v>0</v>
      </c>
      <c r="W54" s="17">
        <f t="shared" si="5"/>
        <v>0</v>
      </c>
      <c r="X54" s="26"/>
      <c r="Y54" s="26"/>
      <c r="Z54" s="27"/>
      <c r="AB54" s="137"/>
      <c r="AE54" s="137"/>
    </row>
    <row r="55" spans="1:31" ht="33.75" customHeight="1">
      <c r="A55" s="37"/>
      <c r="B55" s="35"/>
      <c r="C55" s="19"/>
      <c r="D55" s="20"/>
      <c r="E55" s="20"/>
      <c r="F55" s="21"/>
      <c r="G55" s="21"/>
      <c r="H55" s="17">
        <f t="shared" si="3"/>
        <v>0</v>
      </c>
      <c r="I55" s="38"/>
      <c r="J55" s="23"/>
      <c r="K55" s="21"/>
      <c r="L55" s="24"/>
      <c r="M55" s="23"/>
      <c r="N55" s="21"/>
      <c r="O55" s="24"/>
      <c r="P55" s="23"/>
      <c r="Q55" s="21"/>
      <c r="R55" s="24"/>
      <c r="S55" s="23"/>
      <c r="T55" s="21"/>
      <c r="U55" s="24"/>
      <c r="V55" s="25">
        <f t="shared" si="4"/>
        <v>0</v>
      </c>
      <c r="W55" s="17">
        <f t="shared" si="5"/>
        <v>0</v>
      </c>
      <c r="X55" s="26"/>
      <c r="Y55" s="26"/>
      <c r="Z55" s="27"/>
      <c r="AB55" s="137"/>
      <c r="AE55" s="137"/>
    </row>
    <row r="56" spans="1:31" ht="33.75" customHeight="1">
      <c r="A56" s="37"/>
      <c r="B56" s="30"/>
      <c r="C56" s="19"/>
      <c r="D56" s="20"/>
      <c r="E56" s="20"/>
      <c r="F56" s="21"/>
      <c r="G56" s="21"/>
      <c r="H56" s="17">
        <f t="shared" si="3"/>
        <v>0</v>
      </c>
      <c r="I56" s="39"/>
      <c r="J56" s="23"/>
      <c r="K56" s="21"/>
      <c r="L56" s="24"/>
      <c r="M56" s="23"/>
      <c r="N56" s="21"/>
      <c r="O56" s="24"/>
      <c r="P56" s="23"/>
      <c r="Q56" s="21"/>
      <c r="R56" s="24"/>
      <c r="S56" s="23"/>
      <c r="T56" s="21"/>
      <c r="U56" s="24"/>
      <c r="V56" s="25">
        <f t="shared" si="4"/>
        <v>0</v>
      </c>
      <c r="W56" s="17">
        <f t="shared" si="5"/>
        <v>0</v>
      </c>
      <c r="X56" s="26"/>
      <c r="Y56" s="26"/>
      <c r="Z56" s="27"/>
      <c r="AB56" s="137"/>
      <c r="AE56" s="137"/>
    </row>
    <row r="57" spans="1:31" ht="33.75" customHeight="1">
      <c r="A57" s="37"/>
      <c r="B57" s="30"/>
      <c r="C57" s="19"/>
      <c r="D57" s="20"/>
      <c r="E57" s="20"/>
      <c r="F57" s="21"/>
      <c r="G57" s="21"/>
      <c r="H57" s="17">
        <f t="shared" si="3"/>
        <v>0</v>
      </c>
      <c r="I57" s="39"/>
      <c r="J57" s="23"/>
      <c r="K57" s="21"/>
      <c r="L57" s="24"/>
      <c r="M57" s="23"/>
      <c r="N57" s="21"/>
      <c r="O57" s="24"/>
      <c r="P57" s="23"/>
      <c r="Q57" s="21"/>
      <c r="R57" s="24"/>
      <c r="S57" s="23"/>
      <c r="T57" s="21"/>
      <c r="U57" s="24"/>
      <c r="V57" s="25">
        <f t="shared" si="4"/>
        <v>0</v>
      </c>
      <c r="W57" s="17">
        <f t="shared" si="5"/>
        <v>0</v>
      </c>
      <c r="X57" s="26"/>
      <c r="Y57" s="26"/>
      <c r="Z57" s="27"/>
      <c r="AB57" s="137"/>
      <c r="AE57" s="137"/>
    </row>
    <row r="58" spans="1:31" ht="33.75" customHeight="1">
      <c r="A58" s="37"/>
      <c r="B58" s="28"/>
      <c r="C58" s="19"/>
      <c r="D58" s="20"/>
      <c r="E58" s="20"/>
      <c r="F58" s="21"/>
      <c r="G58" s="21"/>
      <c r="H58" s="17">
        <f t="shared" si="3"/>
        <v>0</v>
      </c>
      <c r="I58" s="40"/>
      <c r="J58" s="23"/>
      <c r="K58" s="21"/>
      <c r="L58" s="24"/>
      <c r="M58" s="23"/>
      <c r="N58" s="21"/>
      <c r="O58" s="24"/>
      <c r="P58" s="23"/>
      <c r="Q58" s="21"/>
      <c r="R58" s="24"/>
      <c r="S58" s="23"/>
      <c r="T58" s="21"/>
      <c r="U58" s="24"/>
      <c r="V58" s="25">
        <f t="shared" si="4"/>
        <v>0</v>
      </c>
      <c r="W58" s="17">
        <f t="shared" si="5"/>
        <v>0</v>
      </c>
      <c r="X58" s="26"/>
      <c r="Y58" s="26"/>
      <c r="Z58" s="27"/>
      <c r="AB58" s="137"/>
      <c r="AE58" s="137"/>
    </row>
    <row r="59" spans="1:31" ht="33.75" customHeight="1">
      <c r="A59" s="37"/>
      <c r="B59" s="30"/>
      <c r="C59" s="19"/>
      <c r="D59" s="20"/>
      <c r="E59" s="20"/>
      <c r="F59" s="21"/>
      <c r="G59" s="21"/>
      <c r="H59" s="17">
        <f t="shared" si="3"/>
        <v>0</v>
      </c>
      <c r="I59" s="26"/>
      <c r="J59" s="23"/>
      <c r="K59" s="21"/>
      <c r="L59" s="24"/>
      <c r="M59" s="23"/>
      <c r="N59" s="21"/>
      <c r="O59" s="24"/>
      <c r="P59" s="23"/>
      <c r="Q59" s="21"/>
      <c r="R59" s="24"/>
      <c r="S59" s="23"/>
      <c r="T59" s="21"/>
      <c r="U59" s="24"/>
      <c r="V59" s="25">
        <f t="shared" si="4"/>
        <v>0</v>
      </c>
      <c r="W59" s="17">
        <f t="shared" si="5"/>
        <v>0</v>
      </c>
      <c r="X59" s="26"/>
      <c r="Y59" s="26"/>
      <c r="Z59" s="27"/>
      <c r="AB59" s="137"/>
      <c r="AE59" s="137"/>
    </row>
    <row r="60" spans="1:31" ht="33.75" customHeight="1">
      <c r="A60" s="37"/>
      <c r="B60" s="28"/>
      <c r="C60" s="19"/>
      <c r="D60" s="20"/>
      <c r="E60" s="20"/>
      <c r="F60" s="21"/>
      <c r="G60" s="21"/>
      <c r="H60" s="17">
        <f t="shared" si="3"/>
        <v>0</v>
      </c>
      <c r="I60" s="26"/>
      <c r="J60" s="23"/>
      <c r="K60" s="21"/>
      <c r="L60" s="24"/>
      <c r="M60" s="23"/>
      <c r="N60" s="21"/>
      <c r="O60" s="24"/>
      <c r="P60" s="23"/>
      <c r="Q60" s="21"/>
      <c r="R60" s="24"/>
      <c r="S60" s="23"/>
      <c r="T60" s="21"/>
      <c r="U60" s="24"/>
      <c r="V60" s="25">
        <f t="shared" si="4"/>
        <v>0</v>
      </c>
      <c r="W60" s="17">
        <f t="shared" si="5"/>
        <v>0</v>
      </c>
      <c r="X60" s="26"/>
      <c r="Y60" s="26"/>
      <c r="Z60" s="27"/>
      <c r="AB60" s="137"/>
      <c r="AE60" s="137"/>
    </row>
    <row r="61" spans="1:31" ht="33.75" customHeight="1">
      <c r="A61" s="37"/>
      <c r="B61" s="18"/>
      <c r="C61" s="19"/>
      <c r="D61" s="20"/>
      <c r="E61" s="20"/>
      <c r="F61" s="21"/>
      <c r="G61" s="21"/>
      <c r="H61" s="17">
        <f t="shared" si="3"/>
        <v>0</v>
      </c>
      <c r="I61" s="29"/>
      <c r="J61" s="23"/>
      <c r="K61" s="21"/>
      <c r="L61" s="24"/>
      <c r="M61" s="23"/>
      <c r="N61" s="21"/>
      <c r="O61" s="24"/>
      <c r="P61" s="23"/>
      <c r="Q61" s="21"/>
      <c r="R61" s="24"/>
      <c r="S61" s="23"/>
      <c r="T61" s="21"/>
      <c r="U61" s="24"/>
      <c r="V61" s="25">
        <f t="shared" si="4"/>
        <v>0</v>
      </c>
      <c r="W61" s="17">
        <f t="shared" si="5"/>
        <v>0</v>
      </c>
      <c r="X61" s="26"/>
      <c r="Y61" s="26"/>
      <c r="Z61" s="27"/>
      <c r="AB61" s="137"/>
      <c r="AE61" s="137"/>
    </row>
    <row r="62" spans="1:31" ht="33.75" customHeight="1">
      <c r="A62" s="37"/>
      <c r="B62" s="35"/>
      <c r="C62" s="19"/>
      <c r="D62" s="20"/>
      <c r="E62" s="20"/>
      <c r="F62" s="21"/>
      <c r="G62" s="21"/>
      <c r="H62" s="17">
        <f t="shared" si="3"/>
        <v>0</v>
      </c>
      <c r="I62" s="22"/>
      <c r="J62" s="23"/>
      <c r="K62" s="21"/>
      <c r="L62" s="24"/>
      <c r="M62" s="23"/>
      <c r="N62" s="21"/>
      <c r="O62" s="24"/>
      <c r="P62" s="23"/>
      <c r="Q62" s="21"/>
      <c r="R62" s="24"/>
      <c r="S62" s="23"/>
      <c r="T62" s="21"/>
      <c r="U62" s="24"/>
      <c r="V62" s="25">
        <f t="shared" si="4"/>
        <v>0</v>
      </c>
      <c r="W62" s="17">
        <f t="shared" si="5"/>
        <v>0</v>
      </c>
      <c r="X62" s="26"/>
      <c r="Y62" s="26"/>
      <c r="Z62" s="27"/>
      <c r="AB62" s="137"/>
      <c r="AE62" s="137"/>
    </row>
    <row r="63" spans="1:31" ht="33.75" customHeight="1">
      <c r="A63" s="37"/>
      <c r="B63" s="30"/>
      <c r="C63" s="19"/>
      <c r="D63" s="20"/>
      <c r="E63" s="20"/>
      <c r="F63" s="21"/>
      <c r="G63" s="21"/>
      <c r="H63" s="17">
        <f t="shared" si="3"/>
        <v>0</v>
      </c>
      <c r="I63" s="22"/>
      <c r="J63" s="23"/>
      <c r="K63" s="21"/>
      <c r="L63" s="24"/>
      <c r="M63" s="23"/>
      <c r="N63" s="21"/>
      <c r="O63" s="24"/>
      <c r="P63" s="23"/>
      <c r="Q63" s="21"/>
      <c r="R63" s="24"/>
      <c r="S63" s="23"/>
      <c r="T63" s="21"/>
      <c r="U63" s="24"/>
      <c r="V63" s="25">
        <f t="shared" si="4"/>
        <v>0</v>
      </c>
      <c r="W63" s="17">
        <f t="shared" si="5"/>
        <v>0</v>
      </c>
      <c r="X63" s="26"/>
      <c r="Y63" s="26"/>
      <c r="Z63" s="27"/>
      <c r="AB63" s="137"/>
      <c r="AE63" s="137"/>
    </row>
    <row r="64" spans="1:31" ht="33.75" customHeight="1">
      <c r="A64" s="37"/>
      <c r="B64" s="28"/>
      <c r="C64" s="19"/>
      <c r="D64" s="20"/>
      <c r="E64" s="20"/>
      <c r="F64" s="21"/>
      <c r="G64" s="21"/>
      <c r="H64" s="17">
        <f t="shared" si="3"/>
        <v>0</v>
      </c>
      <c r="I64" s="22"/>
      <c r="J64" s="23"/>
      <c r="K64" s="21"/>
      <c r="L64" s="24"/>
      <c r="M64" s="23"/>
      <c r="N64" s="21"/>
      <c r="O64" s="24"/>
      <c r="P64" s="23"/>
      <c r="Q64" s="21"/>
      <c r="R64" s="24"/>
      <c r="S64" s="23"/>
      <c r="T64" s="21"/>
      <c r="U64" s="24"/>
      <c r="V64" s="25">
        <f t="shared" si="4"/>
        <v>0</v>
      </c>
      <c r="W64" s="17">
        <f t="shared" si="5"/>
        <v>0</v>
      </c>
      <c r="X64" s="26"/>
      <c r="Y64" s="26"/>
      <c r="Z64" s="27"/>
      <c r="AB64" s="137"/>
      <c r="AE64" s="137"/>
    </row>
    <row r="65" spans="1:31" ht="33.75" customHeight="1">
      <c r="A65" s="37"/>
      <c r="B65" s="18"/>
      <c r="C65" s="19"/>
      <c r="D65" s="20"/>
      <c r="E65" s="20"/>
      <c r="F65" s="21"/>
      <c r="G65" s="21"/>
      <c r="H65" s="17">
        <f t="shared" si="3"/>
        <v>0</v>
      </c>
      <c r="I65" s="22"/>
      <c r="J65" s="23"/>
      <c r="K65" s="21"/>
      <c r="L65" s="24"/>
      <c r="M65" s="23"/>
      <c r="N65" s="21"/>
      <c r="O65" s="24"/>
      <c r="P65" s="23"/>
      <c r="Q65" s="21"/>
      <c r="R65" s="24"/>
      <c r="S65" s="23"/>
      <c r="T65" s="21"/>
      <c r="U65" s="24"/>
      <c r="V65" s="25">
        <f t="shared" si="4"/>
        <v>0</v>
      </c>
      <c r="W65" s="17">
        <f t="shared" si="5"/>
        <v>0</v>
      </c>
      <c r="X65" s="26"/>
      <c r="Y65" s="26"/>
      <c r="Z65" s="27"/>
      <c r="AB65" s="137"/>
      <c r="AE65" s="137"/>
    </row>
    <row r="66" spans="1:31" ht="33.75" customHeight="1">
      <c r="A66" s="37"/>
      <c r="B66" s="35"/>
      <c r="C66" s="19"/>
      <c r="D66" s="20"/>
      <c r="E66" s="20"/>
      <c r="F66" s="21"/>
      <c r="G66" s="21"/>
      <c r="H66" s="17">
        <f t="shared" si="3"/>
        <v>0</v>
      </c>
      <c r="I66" s="22"/>
      <c r="J66" s="23"/>
      <c r="K66" s="21"/>
      <c r="L66" s="24"/>
      <c r="M66" s="23"/>
      <c r="N66" s="21"/>
      <c r="O66" s="24"/>
      <c r="P66" s="23"/>
      <c r="Q66" s="21"/>
      <c r="R66" s="24"/>
      <c r="S66" s="23"/>
      <c r="T66" s="21"/>
      <c r="U66" s="24"/>
      <c r="V66" s="25">
        <f t="shared" si="4"/>
        <v>0</v>
      </c>
      <c r="W66" s="17">
        <f t="shared" si="5"/>
        <v>0</v>
      </c>
      <c r="X66" s="26"/>
      <c r="Y66" s="26"/>
      <c r="Z66" s="27"/>
      <c r="AB66" s="137"/>
      <c r="AE66" s="137"/>
    </row>
    <row r="67" spans="1:31" ht="33.75" customHeight="1">
      <c r="A67" s="37"/>
      <c r="B67" s="28"/>
      <c r="C67" s="19"/>
      <c r="D67" s="20"/>
      <c r="E67" s="20"/>
      <c r="F67" s="21"/>
      <c r="G67" s="21"/>
      <c r="H67" s="17">
        <f t="shared" si="3"/>
        <v>0</v>
      </c>
      <c r="I67" s="22"/>
      <c r="J67" s="23"/>
      <c r="K67" s="21"/>
      <c r="L67" s="24"/>
      <c r="M67" s="23"/>
      <c r="N67" s="21"/>
      <c r="O67" s="24"/>
      <c r="P67" s="23"/>
      <c r="Q67" s="21"/>
      <c r="R67" s="24"/>
      <c r="S67" s="23"/>
      <c r="T67" s="21"/>
      <c r="U67" s="24"/>
      <c r="V67" s="25">
        <f t="shared" si="4"/>
        <v>0</v>
      </c>
      <c r="W67" s="17">
        <f t="shared" si="5"/>
        <v>0</v>
      </c>
      <c r="X67" s="26"/>
      <c r="Y67" s="26"/>
      <c r="Z67" s="27"/>
      <c r="AB67" s="137"/>
      <c r="AE67" s="137"/>
    </row>
    <row r="68" spans="1:31" ht="33.75" customHeight="1">
      <c r="A68" s="37"/>
      <c r="B68" s="35"/>
      <c r="C68" s="19"/>
      <c r="D68" s="20"/>
      <c r="E68" s="20"/>
      <c r="F68" s="21"/>
      <c r="G68" s="21"/>
      <c r="H68" s="17">
        <f t="shared" si="3"/>
        <v>0</v>
      </c>
      <c r="I68" s="22"/>
      <c r="J68" s="23"/>
      <c r="K68" s="21"/>
      <c r="L68" s="24"/>
      <c r="M68" s="23"/>
      <c r="N68" s="21"/>
      <c r="O68" s="24"/>
      <c r="P68" s="23"/>
      <c r="Q68" s="21"/>
      <c r="R68" s="24"/>
      <c r="S68" s="23"/>
      <c r="T68" s="21"/>
      <c r="U68" s="24"/>
      <c r="V68" s="25">
        <f t="shared" si="4"/>
        <v>0</v>
      </c>
      <c r="W68" s="17">
        <f t="shared" si="5"/>
        <v>0</v>
      </c>
      <c r="X68" s="26"/>
      <c r="Y68" s="26"/>
      <c r="Z68" s="27"/>
      <c r="AB68" s="137"/>
      <c r="AE68" s="137"/>
    </row>
    <row r="69" spans="1:31" ht="33.75" customHeight="1">
      <c r="A69" s="37"/>
      <c r="B69" s="30"/>
      <c r="C69" s="19"/>
      <c r="D69" s="20"/>
      <c r="E69" s="20"/>
      <c r="F69" s="21"/>
      <c r="G69" s="21"/>
      <c r="H69" s="17">
        <f t="shared" si="3"/>
        <v>0</v>
      </c>
      <c r="I69" s="22"/>
      <c r="J69" s="23"/>
      <c r="K69" s="21"/>
      <c r="L69" s="24"/>
      <c r="M69" s="23"/>
      <c r="N69" s="21"/>
      <c r="O69" s="24"/>
      <c r="P69" s="23"/>
      <c r="Q69" s="21"/>
      <c r="R69" s="24"/>
      <c r="S69" s="23"/>
      <c r="T69" s="21"/>
      <c r="U69" s="24"/>
      <c r="V69" s="25">
        <f t="shared" si="4"/>
        <v>0</v>
      </c>
      <c r="W69" s="17">
        <f t="shared" si="5"/>
        <v>0</v>
      </c>
      <c r="X69" s="26"/>
      <c r="Y69" s="26"/>
      <c r="Z69" s="27"/>
      <c r="AB69" s="137"/>
      <c r="AE69" s="137"/>
    </row>
    <row r="70" spans="1:31" ht="33.75" customHeight="1">
      <c r="A70" s="37"/>
      <c r="B70" s="18"/>
      <c r="C70" s="19"/>
      <c r="D70" s="20"/>
      <c r="E70" s="20"/>
      <c r="F70" s="21"/>
      <c r="G70" s="21"/>
      <c r="H70" s="17">
        <f t="shared" ref="H70:H101" si="6">F70*G70</f>
        <v>0</v>
      </c>
      <c r="I70" s="22"/>
      <c r="J70" s="23"/>
      <c r="K70" s="21"/>
      <c r="L70" s="24"/>
      <c r="M70" s="23"/>
      <c r="N70" s="21"/>
      <c r="O70" s="24"/>
      <c r="P70" s="23"/>
      <c r="Q70" s="21"/>
      <c r="R70" s="24"/>
      <c r="S70" s="23"/>
      <c r="T70" s="21"/>
      <c r="U70" s="24"/>
      <c r="V70" s="25">
        <f t="shared" ref="V70:V101" si="7">SUM(J70:L70)*SUM(M70:O70)*SUM(P70:R70)*SUM(S70:U70)/4</f>
        <v>0</v>
      </c>
      <c r="W70" s="17">
        <f t="shared" ref="W70:W101" si="8">IFERROR(H70/V70,0)</f>
        <v>0</v>
      </c>
      <c r="X70" s="26"/>
      <c r="Y70" s="26"/>
      <c r="Z70" s="27"/>
      <c r="AB70" s="137"/>
      <c r="AE70" s="137"/>
    </row>
    <row r="71" spans="1:31" ht="33.75" customHeight="1">
      <c r="A71" s="37"/>
      <c r="B71" s="30"/>
      <c r="C71" s="19"/>
      <c r="D71" s="20"/>
      <c r="E71" s="20"/>
      <c r="F71" s="21"/>
      <c r="G71" s="21"/>
      <c r="H71" s="17">
        <f t="shared" si="6"/>
        <v>0</v>
      </c>
      <c r="I71" s="26"/>
      <c r="J71" s="23"/>
      <c r="K71" s="21"/>
      <c r="L71" s="24"/>
      <c r="M71" s="23"/>
      <c r="N71" s="21"/>
      <c r="O71" s="24"/>
      <c r="P71" s="23"/>
      <c r="Q71" s="21"/>
      <c r="R71" s="24"/>
      <c r="S71" s="23"/>
      <c r="T71" s="21"/>
      <c r="U71" s="24"/>
      <c r="V71" s="25">
        <f t="shared" si="7"/>
        <v>0</v>
      </c>
      <c r="W71" s="17">
        <f t="shared" si="8"/>
        <v>0</v>
      </c>
      <c r="X71" s="26"/>
      <c r="Y71" s="26"/>
      <c r="Z71" s="27"/>
      <c r="AB71" s="137"/>
      <c r="AE71" s="137"/>
    </row>
    <row r="72" spans="1:31" ht="33.75" customHeight="1">
      <c r="A72" s="37"/>
      <c r="B72" s="28"/>
      <c r="C72" s="19"/>
      <c r="D72" s="20"/>
      <c r="E72" s="20"/>
      <c r="F72" s="21"/>
      <c r="G72" s="21"/>
      <c r="H72" s="17">
        <f t="shared" si="6"/>
        <v>0</v>
      </c>
      <c r="I72" s="26"/>
      <c r="J72" s="23"/>
      <c r="K72" s="21"/>
      <c r="L72" s="24"/>
      <c r="M72" s="23"/>
      <c r="N72" s="21"/>
      <c r="O72" s="24"/>
      <c r="P72" s="23"/>
      <c r="Q72" s="21"/>
      <c r="R72" s="24"/>
      <c r="S72" s="23"/>
      <c r="T72" s="21"/>
      <c r="U72" s="24"/>
      <c r="V72" s="25">
        <f t="shared" si="7"/>
        <v>0</v>
      </c>
      <c r="W72" s="17">
        <f t="shared" si="8"/>
        <v>0</v>
      </c>
      <c r="X72" s="26"/>
      <c r="Y72" s="26"/>
      <c r="Z72" s="27"/>
      <c r="AB72" s="137"/>
      <c r="AE72" s="137"/>
    </row>
    <row r="73" spans="1:31" ht="33.75" customHeight="1">
      <c r="A73" s="37"/>
      <c r="B73" s="18"/>
      <c r="C73" s="19"/>
      <c r="D73" s="20"/>
      <c r="E73" s="20"/>
      <c r="F73" s="21"/>
      <c r="G73" s="21"/>
      <c r="H73" s="17">
        <f t="shared" si="6"/>
        <v>0</v>
      </c>
      <c r="I73" s="29"/>
      <c r="J73" s="23"/>
      <c r="K73" s="21"/>
      <c r="L73" s="24"/>
      <c r="M73" s="23"/>
      <c r="N73" s="21"/>
      <c r="O73" s="24"/>
      <c r="P73" s="23"/>
      <c r="Q73" s="21"/>
      <c r="R73" s="24"/>
      <c r="S73" s="23"/>
      <c r="T73" s="21"/>
      <c r="U73" s="24"/>
      <c r="V73" s="25">
        <f t="shared" si="7"/>
        <v>0</v>
      </c>
      <c r="W73" s="17">
        <f t="shared" si="8"/>
        <v>0</v>
      </c>
      <c r="X73" s="26"/>
      <c r="Y73" s="26"/>
      <c r="Z73" s="27"/>
      <c r="AB73" s="137"/>
      <c r="AE73" s="137"/>
    </row>
    <row r="74" spans="1:31" ht="33.75" customHeight="1">
      <c r="A74" s="37"/>
      <c r="B74" s="35"/>
      <c r="C74" s="19"/>
      <c r="D74" s="20"/>
      <c r="E74" s="20"/>
      <c r="F74" s="21"/>
      <c r="G74" s="21"/>
      <c r="H74" s="17">
        <f t="shared" si="6"/>
        <v>0</v>
      </c>
      <c r="I74" s="22"/>
      <c r="J74" s="23"/>
      <c r="K74" s="21"/>
      <c r="L74" s="24"/>
      <c r="M74" s="23"/>
      <c r="N74" s="21"/>
      <c r="O74" s="24"/>
      <c r="P74" s="23"/>
      <c r="Q74" s="21"/>
      <c r="R74" s="24"/>
      <c r="S74" s="23"/>
      <c r="T74" s="21"/>
      <c r="U74" s="24"/>
      <c r="V74" s="25">
        <f t="shared" si="7"/>
        <v>0</v>
      </c>
      <c r="W74" s="17">
        <f t="shared" si="8"/>
        <v>0</v>
      </c>
      <c r="X74" s="26"/>
      <c r="Y74" s="26"/>
      <c r="Z74" s="27"/>
      <c r="AB74" s="137"/>
      <c r="AE74" s="137"/>
    </row>
    <row r="75" spans="1:31" ht="33.75" customHeight="1">
      <c r="A75" s="37"/>
      <c r="B75" s="30"/>
      <c r="C75" s="19"/>
      <c r="D75" s="20"/>
      <c r="E75" s="20"/>
      <c r="F75" s="21"/>
      <c r="G75" s="21"/>
      <c r="H75" s="17">
        <f t="shared" si="6"/>
        <v>0</v>
      </c>
      <c r="I75" s="22"/>
      <c r="J75" s="23"/>
      <c r="K75" s="21"/>
      <c r="L75" s="24"/>
      <c r="M75" s="23"/>
      <c r="N75" s="21"/>
      <c r="O75" s="24"/>
      <c r="P75" s="23"/>
      <c r="Q75" s="21"/>
      <c r="R75" s="24"/>
      <c r="S75" s="23"/>
      <c r="T75" s="21"/>
      <c r="U75" s="24"/>
      <c r="V75" s="25">
        <f t="shared" si="7"/>
        <v>0</v>
      </c>
      <c r="W75" s="17">
        <f t="shared" si="8"/>
        <v>0</v>
      </c>
      <c r="X75" s="26"/>
      <c r="Y75" s="26"/>
      <c r="Z75" s="27"/>
      <c r="AB75" s="137"/>
      <c r="AE75" s="137"/>
    </row>
    <row r="76" spans="1:31" ht="33.75" customHeight="1">
      <c r="A76" s="37"/>
      <c r="B76" s="28"/>
      <c r="C76" s="19"/>
      <c r="D76" s="20"/>
      <c r="E76" s="20"/>
      <c r="F76" s="21"/>
      <c r="G76" s="21"/>
      <c r="H76" s="17">
        <f t="shared" si="6"/>
        <v>0</v>
      </c>
      <c r="I76" s="22"/>
      <c r="J76" s="23"/>
      <c r="K76" s="21"/>
      <c r="L76" s="24"/>
      <c r="M76" s="23"/>
      <c r="N76" s="21"/>
      <c r="O76" s="24"/>
      <c r="P76" s="23"/>
      <c r="Q76" s="21"/>
      <c r="R76" s="24"/>
      <c r="S76" s="23"/>
      <c r="T76" s="21"/>
      <c r="U76" s="24"/>
      <c r="V76" s="25">
        <f t="shared" si="7"/>
        <v>0</v>
      </c>
      <c r="W76" s="17">
        <f t="shared" si="8"/>
        <v>0</v>
      </c>
      <c r="X76" s="26"/>
      <c r="Y76" s="26"/>
      <c r="Z76" s="27"/>
      <c r="AB76" s="137"/>
      <c r="AE76" s="137"/>
    </row>
    <row r="77" spans="1:31" ht="33.75" customHeight="1">
      <c r="A77" s="37"/>
      <c r="B77" s="18"/>
      <c r="C77" s="19"/>
      <c r="D77" s="20"/>
      <c r="E77" s="20"/>
      <c r="F77" s="21"/>
      <c r="G77" s="21"/>
      <c r="H77" s="17">
        <f t="shared" si="6"/>
        <v>0</v>
      </c>
      <c r="I77" s="22"/>
      <c r="J77" s="23"/>
      <c r="K77" s="21"/>
      <c r="L77" s="24"/>
      <c r="M77" s="23"/>
      <c r="N77" s="21"/>
      <c r="O77" s="24"/>
      <c r="P77" s="23"/>
      <c r="Q77" s="21"/>
      <c r="R77" s="24"/>
      <c r="S77" s="23"/>
      <c r="T77" s="21"/>
      <c r="U77" s="24"/>
      <c r="V77" s="25">
        <f t="shared" si="7"/>
        <v>0</v>
      </c>
      <c r="W77" s="17">
        <f t="shared" si="8"/>
        <v>0</v>
      </c>
      <c r="X77" s="26"/>
      <c r="Y77" s="26"/>
      <c r="Z77" s="27"/>
      <c r="AB77" s="137"/>
      <c r="AE77" s="137"/>
    </row>
  </sheetData>
  <mergeCells count="27">
    <mergeCell ref="Z4:Z5"/>
    <mergeCell ref="A29:A32"/>
    <mergeCell ref="P4:R4"/>
    <mergeCell ref="C19:C20"/>
    <mergeCell ref="D19:D20"/>
    <mergeCell ref="B4:B5"/>
    <mergeCell ref="W4:W5"/>
    <mergeCell ref="F4:F5"/>
    <mergeCell ref="Y4:Y5"/>
    <mergeCell ref="H4:H5"/>
    <mergeCell ref="B16:B26"/>
    <mergeCell ref="B29:B31"/>
    <mergeCell ref="X4:X5"/>
    <mergeCell ref="G4:G5"/>
    <mergeCell ref="M4:O4"/>
    <mergeCell ref="I4:I5"/>
    <mergeCell ref="S4:U4"/>
    <mergeCell ref="A6:A27"/>
    <mergeCell ref="C4:C5"/>
    <mergeCell ref="V4:V5"/>
    <mergeCell ref="E4:E5"/>
    <mergeCell ref="E33:E34"/>
    <mergeCell ref="J4:L4"/>
    <mergeCell ref="A33:A39"/>
    <mergeCell ref="D4:D5"/>
    <mergeCell ref="A4:A5"/>
    <mergeCell ref="B33:B34"/>
  </mergeCells>
  <conditionalFormatting sqref="H6:H7">
    <cfRule type="top10" priority="47" rank="10"/>
    <cfRule type="colorScale" priority="46">
      <colorScale>
        <cfvo type="num" val="4"/>
        <cfvo type="num" val="8"/>
        <cfvo type="num" val="12"/>
        <color rgb="FF92D050"/>
        <color rgb="FFFFC000"/>
        <color rgb="FFFF0000"/>
      </colorScale>
    </cfRule>
    <cfRule type="colorScale" priority="45">
      <colorScale>
        <cfvo type="num" val="0"/>
        <cfvo type="num" val="8"/>
        <cfvo type="num" val="16"/>
        <color rgb="FF92D050"/>
        <color rgb="FFFFC000"/>
        <color rgb="FFFF0000"/>
      </colorScale>
    </cfRule>
  </conditionalFormatting>
  <conditionalFormatting sqref="H8">
    <cfRule type="colorScale" priority="1">
      <colorScale>
        <cfvo type="num" val="0"/>
        <cfvo type="num" val="8"/>
        <cfvo type="num" val="16"/>
        <color rgb="FF92D050"/>
        <color rgb="FFFFC000"/>
        <color rgb="FFFF0000"/>
      </colorScale>
    </cfRule>
    <cfRule type="colorScale" priority="2">
      <colorScale>
        <cfvo type="num" val="4"/>
        <cfvo type="num" val="8"/>
        <cfvo type="num" val="12"/>
        <color rgb="FF92D050"/>
        <color rgb="FFFFC000"/>
        <color rgb="FFFF0000"/>
      </colorScale>
    </cfRule>
    <cfRule type="top10" priority="3" rank="10"/>
  </conditionalFormatting>
  <conditionalFormatting sqref="H9:H15 H33:H35">
    <cfRule type="colorScale" priority="43">
      <colorScale>
        <cfvo type="num" val="4"/>
        <cfvo type="num" val="8"/>
        <cfvo type="num" val="12"/>
        <color rgb="FF92D050"/>
        <color rgb="FFFFC000"/>
        <color rgb="FFFF0000"/>
      </colorScale>
    </cfRule>
    <cfRule type="colorScale" priority="42">
      <colorScale>
        <cfvo type="num" val="0"/>
        <cfvo type="num" val="8"/>
        <cfvo type="num" val="16"/>
        <color rgb="FF92D050"/>
        <color rgb="FFFFC000"/>
        <color rgb="FFFF0000"/>
      </colorScale>
    </cfRule>
    <cfRule type="top10" priority="44" rank="10"/>
  </conditionalFormatting>
  <conditionalFormatting sqref="H16:H18">
    <cfRule type="colorScale" priority="22">
      <colorScale>
        <cfvo type="num" val="4"/>
        <cfvo type="num" val="8"/>
        <cfvo type="num" val="12"/>
        <color rgb="FF92D050"/>
        <color rgb="FFFFC000"/>
        <color rgb="FFFF0000"/>
      </colorScale>
    </cfRule>
    <cfRule type="top10" priority="23" rank="10"/>
    <cfRule type="colorScale" priority="21">
      <colorScale>
        <cfvo type="num" val="0"/>
        <cfvo type="num" val="8"/>
        <cfvo type="num" val="16"/>
        <color rgb="FF92D050"/>
        <color rgb="FFFFC000"/>
        <color rgb="FFFF0000"/>
      </colorScale>
    </cfRule>
  </conditionalFormatting>
  <conditionalFormatting sqref="H19:H21">
    <cfRule type="colorScale" priority="24">
      <colorScale>
        <cfvo type="num" val="0"/>
        <cfvo type="num" val="8"/>
        <cfvo type="num" val="16"/>
        <color rgb="FF92D050"/>
        <color rgb="FFFFC000"/>
        <color rgb="FFFF0000"/>
      </colorScale>
    </cfRule>
    <cfRule type="colorScale" priority="25">
      <colorScale>
        <cfvo type="num" val="4"/>
        <cfvo type="num" val="8"/>
        <cfvo type="num" val="12"/>
        <color rgb="FF92D050"/>
        <color rgb="FFFFC000"/>
        <color rgb="FFFF0000"/>
      </colorScale>
    </cfRule>
    <cfRule type="top10" priority="26" rank="10"/>
  </conditionalFormatting>
  <conditionalFormatting sqref="H22">
    <cfRule type="top10" priority="20" rank="10"/>
    <cfRule type="colorScale" priority="18">
      <colorScale>
        <cfvo type="num" val="0"/>
        <cfvo type="num" val="8"/>
        <cfvo type="num" val="16"/>
        <color rgb="FF92D050"/>
        <color rgb="FFFFC000"/>
        <color rgb="FFFF0000"/>
      </colorScale>
    </cfRule>
    <cfRule type="colorScale" priority="19">
      <colorScale>
        <cfvo type="num" val="4"/>
        <cfvo type="num" val="8"/>
        <cfvo type="num" val="12"/>
        <color rgb="FF92D050"/>
        <color rgb="FFFFC000"/>
        <color rgb="FFFF0000"/>
      </colorScale>
    </cfRule>
  </conditionalFormatting>
  <conditionalFormatting sqref="H23">
    <cfRule type="colorScale" priority="15">
      <colorScale>
        <cfvo type="num" val="0"/>
        <cfvo type="num" val="8"/>
        <cfvo type="num" val="16"/>
        <color rgb="FF92D050"/>
        <color rgb="FFFFC000"/>
        <color rgb="FFFF0000"/>
      </colorScale>
    </cfRule>
    <cfRule type="colorScale" priority="16">
      <colorScale>
        <cfvo type="num" val="4"/>
        <cfvo type="num" val="8"/>
        <cfvo type="num" val="12"/>
        <color rgb="FF92D050"/>
        <color rgb="FFFFC000"/>
        <color rgb="FFFF0000"/>
      </colorScale>
    </cfRule>
    <cfRule type="top10" priority="17" rank="10"/>
  </conditionalFormatting>
  <conditionalFormatting sqref="H24">
    <cfRule type="top10" priority="14" rank="10"/>
    <cfRule type="colorScale" priority="13">
      <colorScale>
        <cfvo type="num" val="4"/>
        <cfvo type="num" val="8"/>
        <cfvo type="num" val="12"/>
        <color rgb="FF92D050"/>
        <color rgb="FFFFC000"/>
        <color rgb="FFFF0000"/>
      </colorScale>
    </cfRule>
    <cfRule type="colorScale" priority="12">
      <colorScale>
        <cfvo type="num" val="0"/>
        <cfvo type="num" val="8"/>
        <cfvo type="num" val="16"/>
        <color rgb="FF92D050"/>
        <color rgb="FFFFC000"/>
        <color rgb="FFFF0000"/>
      </colorScale>
    </cfRule>
  </conditionalFormatting>
  <conditionalFormatting sqref="H25:H32">
    <cfRule type="colorScale" priority="39">
      <colorScale>
        <cfvo type="num" val="0"/>
        <cfvo type="num" val="8"/>
        <cfvo type="num" val="16"/>
        <color rgb="FF92D050"/>
        <color rgb="FFFFC000"/>
        <color rgb="FFFF0000"/>
      </colorScale>
    </cfRule>
    <cfRule type="colorScale" priority="40">
      <colorScale>
        <cfvo type="num" val="4"/>
        <cfvo type="num" val="8"/>
        <cfvo type="num" val="12"/>
        <color rgb="FF92D050"/>
        <color rgb="FFFFC000"/>
        <color rgb="FFFF0000"/>
      </colorScale>
    </cfRule>
    <cfRule type="top10" priority="41" rank="10"/>
  </conditionalFormatting>
  <conditionalFormatting sqref="H36:H39">
    <cfRule type="colorScale" priority="33">
      <colorScale>
        <cfvo type="num" val="0"/>
        <cfvo type="num" val="8"/>
        <cfvo type="num" val="16"/>
        <color rgb="FF92D050"/>
        <color rgb="FFFFC000"/>
        <color rgb="FFFF0000"/>
      </colorScale>
    </cfRule>
    <cfRule type="colorScale" priority="34">
      <colorScale>
        <cfvo type="num" val="4"/>
        <cfvo type="num" val="8"/>
        <cfvo type="num" val="12"/>
        <color rgb="FF92D050"/>
        <color rgb="FFFFC000"/>
        <color rgb="FFFF0000"/>
      </colorScale>
    </cfRule>
    <cfRule type="top10" priority="35" rank="10"/>
  </conditionalFormatting>
  <conditionalFormatting sqref="H40:H58">
    <cfRule type="colorScale" priority="36">
      <colorScale>
        <cfvo type="num" val="0"/>
        <cfvo type="num" val="8"/>
        <cfvo type="num" val="16"/>
        <color rgb="FF92D050"/>
        <color rgb="FFFFC000"/>
        <color rgb="FFFF0000"/>
      </colorScale>
    </cfRule>
    <cfRule type="colorScale" priority="37">
      <colorScale>
        <cfvo type="num" val="4"/>
        <cfvo type="num" val="8"/>
        <cfvo type="num" val="12"/>
        <color rgb="FF92D050"/>
        <color rgb="FFFFC000"/>
        <color rgb="FFFF0000"/>
      </colorScale>
    </cfRule>
    <cfRule type="top10" priority="38" rank="10"/>
  </conditionalFormatting>
  <conditionalFormatting sqref="H59:H70">
    <cfRule type="colorScale" priority="27">
      <colorScale>
        <cfvo type="num" val="0"/>
        <cfvo type="num" val="8"/>
        <cfvo type="num" val="16"/>
        <color rgb="FF92D050"/>
        <color rgb="FFFFC000"/>
        <color rgb="FFFF0000"/>
      </colorScale>
    </cfRule>
    <cfRule type="colorScale" priority="28">
      <colorScale>
        <cfvo type="num" val="4"/>
        <cfvo type="num" val="8"/>
        <cfvo type="num" val="12"/>
        <color rgb="FF92D050"/>
        <color rgb="FFFFC000"/>
        <color rgb="FFFF0000"/>
      </colorScale>
    </cfRule>
    <cfRule type="top10" priority="29" rank="10"/>
  </conditionalFormatting>
  <conditionalFormatting sqref="H71:H77">
    <cfRule type="colorScale" priority="30">
      <colorScale>
        <cfvo type="num" val="0"/>
        <cfvo type="num" val="8"/>
        <cfvo type="num" val="16"/>
        <color rgb="FF92D050"/>
        <color rgb="FFFFC000"/>
        <color rgb="FFFF0000"/>
      </colorScale>
    </cfRule>
    <cfRule type="colorScale" priority="31">
      <colorScale>
        <cfvo type="num" val="4"/>
        <cfvo type="num" val="8"/>
        <cfvo type="num" val="12"/>
        <color rgb="FF92D050"/>
        <color rgb="FFFFC000"/>
        <color rgb="FFFF0000"/>
      </colorScale>
    </cfRule>
    <cfRule type="top10" priority="32" rank="10"/>
  </conditionalFormatting>
  <conditionalFormatting sqref="W6:W77">
    <cfRule type="cellIs" dxfId="8" priority="4" operator="between">
      <formula>13</formula>
      <formula>99.99</formula>
    </cfRule>
    <cfRule type="cellIs" dxfId="7" priority="5" operator="between">
      <formula>9</formula>
      <formula>12.99</formula>
    </cfRule>
    <cfRule type="cellIs" dxfId="6" priority="7" operator="between">
      <formula>0.01</formula>
      <formula>4.99</formula>
    </cfRule>
    <cfRule type="cellIs" dxfId="5" priority="6" operator="between">
      <formula>5</formula>
      <formula>8.99</formula>
    </cfRule>
  </conditionalFormatting>
  <conditionalFormatting sqref="AA6:AA77">
    <cfRule type="expression" dxfId="4" priority="48">
      <formula>AA6="Clôturée"</formula>
    </cfRule>
    <cfRule type="expression" dxfId="3" priority="49">
      <formula>AA6="En cours"</formula>
    </cfRule>
    <cfRule type="expression" dxfId="2" priority="50">
      <formula>AA6="Bloquée"</formula>
    </cfRule>
  </conditionalFormatting>
  <dataValidations count="8">
    <dataValidation type="list" allowBlank="1" showInputMessage="1" showErrorMessage="1" sqref="J6:J7 J9:J77 M6:M7 M9:M77 P6:P7 P9:P77 S6:S7 S9:S77" xr:uid="{00000000-0002-0000-0400-000000000000}">
      <formula1>"3"</formula1>
    </dataValidation>
    <dataValidation type="list" allowBlank="1" showInputMessage="1" showErrorMessage="1" sqref="L6:L7 L9:L77 O6:O7 O9:O77 R6:R7 R9:R77 U6:U7 U9:U77" xr:uid="{00000000-0002-0000-0400-000001000000}">
      <formula1>"1"</formula1>
    </dataValidation>
    <dataValidation type="list" allowBlank="1" showInputMessage="1" showErrorMessage="1" sqref="K6:K7 K9:K77 N6:N7 N9:N77 Q6:Q7 Q9:Q77 T6:T7 T9:T77" xr:uid="{00000000-0002-0000-0400-000002000000}">
      <formula1>"2"</formula1>
    </dataValidation>
    <dataValidation type="list" allowBlank="1" showInputMessage="1" showErrorMessage="1" sqref="G6:G7 G28" xr:uid="{00000000-0002-0000-0400-000003000000}">
      <formula1>"1,2,3,4"</formula1>
    </dataValidation>
    <dataValidation type="list" allowBlank="1" showInputMessage="1" showErrorMessage="1" sqref="F6:F7 F28" xr:uid="{00000000-0002-0000-0400-000004000000}">
      <formula1>"2,3,4,5"</formula1>
    </dataValidation>
    <dataValidation type="list" sqref="AA6:AA77" xr:uid="{00000000-0002-0000-0400-000005000000}">
      <formula1>"À lancer,En cours,Bloquée,Clôturée"</formula1>
    </dataValidation>
    <dataValidation type="list" allowBlank="1" sqref="AC6:AC77" xr:uid="{00000000-0002-0000-0400-000006000000}">
      <formula1>"Automatique,Forcée,Exclue"</formula1>
    </dataValidation>
    <dataValidation type="list" allowBlank="1" sqref="AD6:AD77" xr:uid="{00000000-0002-0000-0400-000007000000}">
      <formula1>"Oui,Non,Partiellement,À vérifier"</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IU50"/>
  <sheetViews>
    <sheetView workbookViewId="0">
      <selection activeCell="F12" sqref="F12"/>
    </sheetView>
  </sheetViews>
  <sheetFormatPr baseColWidth="10" defaultColWidth="11.42578125" defaultRowHeight="12.75"/>
  <cols>
    <col min="1" max="1" width="28" style="75" customWidth="1"/>
    <col min="2" max="2" width="36" style="75" customWidth="1"/>
    <col min="3" max="3" width="12" style="75" customWidth="1"/>
    <col min="4" max="4" width="42" style="75" customWidth="1"/>
    <col min="5" max="5" width="22" customWidth="1"/>
    <col min="6" max="6" width="38" customWidth="1"/>
    <col min="256" max="256" width="59.42578125" style="75" customWidth="1"/>
    <col min="257" max="257" width="47.42578125" style="75" customWidth="1"/>
    <col min="258" max="258" width="44.5703125" style="75" customWidth="1"/>
    <col min="259" max="259" width="19" style="75" customWidth="1"/>
    <col min="260" max="260" width="11.42578125" style="75" customWidth="1"/>
    <col min="261" max="261" width="28.5703125" style="75" customWidth="1"/>
    <col min="262" max="511" width="11.42578125" style="75" customWidth="1"/>
    <col min="512" max="512" width="59.42578125" style="75" customWidth="1"/>
    <col min="513" max="513" width="47.42578125" style="75" customWidth="1"/>
    <col min="514" max="514" width="44.5703125" style="75" customWidth="1"/>
    <col min="515" max="515" width="19" style="75" customWidth="1"/>
    <col min="516" max="516" width="11.42578125" style="75" customWidth="1"/>
    <col min="517" max="517" width="28.5703125" style="75" customWidth="1"/>
    <col min="518" max="767" width="11.42578125" style="75" customWidth="1"/>
    <col min="768" max="768" width="59.42578125" style="75" customWidth="1"/>
    <col min="769" max="769" width="47.42578125" style="75" customWidth="1"/>
    <col min="770" max="770" width="44.5703125" style="75" customWidth="1"/>
    <col min="771" max="771" width="19" style="75" customWidth="1"/>
    <col min="772" max="772" width="11.42578125" style="75" customWidth="1"/>
    <col min="773" max="773" width="28.5703125" style="75" customWidth="1"/>
    <col min="774" max="1023" width="11.42578125" style="75" customWidth="1"/>
    <col min="1024" max="1024" width="59.42578125" style="75" customWidth="1"/>
    <col min="1025" max="1025" width="47.42578125" style="75" customWidth="1"/>
    <col min="1026" max="1026" width="44.5703125" style="75" customWidth="1"/>
    <col min="1027" max="1027" width="19" style="75" customWidth="1"/>
    <col min="1028" max="1028" width="11.42578125" style="75" customWidth="1"/>
    <col min="1029" max="1029" width="28.5703125" style="75" customWidth="1"/>
    <col min="1030" max="1279" width="11.42578125" style="75" customWidth="1"/>
    <col min="1280" max="1280" width="59.42578125" style="75" customWidth="1"/>
    <col min="1281" max="1281" width="47.42578125" style="75" customWidth="1"/>
    <col min="1282" max="1282" width="44.5703125" style="75" customWidth="1"/>
    <col min="1283" max="1283" width="19" style="75" customWidth="1"/>
    <col min="1284" max="1284" width="11.42578125" style="75" customWidth="1"/>
    <col min="1285" max="1285" width="28.5703125" style="75" customWidth="1"/>
    <col min="1286" max="1535" width="11.42578125" style="75" customWidth="1"/>
    <col min="1536" max="1536" width="59.42578125" style="75" customWidth="1"/>
    <col min="1537" max="1537" width="47.42578125" style="75" customWidth="1"/>
    <col min="1538" max="1538" width="44.5703125" style="75" customWidth="1"/>
    <col min="1539" max="1539" width="19" style="75" customWidth="1"/>
    <col min="1540" max="1540" width="11.42578125" style="75" customWidth="1"/>
    <col min="1541" max="1541" width="28.5703125" style="75" customWidth="1"/>
    <col min="1542" max="1791" width="11.42578125" style="75" customWidth="1"/>
    <col min="1792" max="1792" width="59.42578125" style="75" customWidth="1"/>
    <col min="1793" max="1793" width="47.42578125" style="75" customWidth="1"/>
    <col min="1794" max="1794" width="44.5703125" style="75" customWidth="1"/>
    <col min="1795" max="1795" width="19" style="75" customWidth="1"/>
    <col min="1796" max="1796" width="11.42578125" style="75" customWidth="1"/>
    <col min="1797" max="1797" width="28.5703125" style="75" customWidth="1"/>
    <col min="1798" max="2047" width="11.42578125" style="75" customWidth="1"/>
    <col min="2048" max="2048" width="59.42578125" style="75" customWidth="1"/>
    <col min="2049" max="2049" width="47.42578125" style="75" customWidth="1"/>
    <col min="2050" max="2050" width="44.5703125" style="75" customWidth="1"/>
    <col min="2051" max="2051" width="19" style="75" customWidth="1"/>
    <col min="2052" max="2052" width="11.42578125" style="75" customWidth="1"/>
    <col min="2053" max="2053" width="28.5703125" style="75" customWidth="1"/>
    <col min="2054" max="2303" width="11.42578125" style="75" customWidth="1"/>
    <col min="2304" max="2304" width="59.42578125" style="75" customWidth="1"/>
    <col min="2305" max="2305" width="47.42578125" style="75" customWidth="1"/>
    <col min="2306" max="2306" width="44.5703125" style="75" customWidth="1"/>
    <col min="2307" max="2307" width="19" style="75" customWidth="1"/>
    <col min="2308" max="2308" width="11.42578125" style="75" customWidth="1"/>
    <col min="2309" max="2309" width="28.5703125" style="75" customWidth="1"/>
    <col min="2310" max="2559" width="11.42578125" style="75" customWidth="1"/>
    <col min="2560" max="2560" width="59.42578125" style="75" customWidth="1"/>
    <col min="2561" max="2561" width="47.42578125" style="75" customWidth="1"/>
    <col min="2562" max="2562" width="44.5703125" style="75" customWidth="1"/>
    <col min="2563" max="2563" width="19" style="75" customWidth="1"/>
    <col min="2564" max="2564" width="11.42578125" style="75" customWidth="1"/>
    <col min="2565" max="2565" width="28.5703125" style="75" customWidth="1"/>
    <col min="2566" max="2815" width="11.42578125" style="75" customWidth="1"/>
    <col min="2816" max="2816" width="59.42578125" style="75" customWidth="1"/>
    <col min="2817" max="2817" width="47.42578125" style="75" customWidth="1"/>
    <col min="2818" max="2818" width="44.5703125" style="75" customWidth="1"/>
    <col min="2819" max="2819" width="19" style="75" customWidth="1"/>
    <col min="2820" max="2820" width="11.42578125" style="75" customWidth="1"/>
    <col min="2821" max="2821" width="28.5703125" style="75" customWidth="1"/>
    <col min="2822" max="3071" width="11.42578125" style="75" customWidth="1"/>
    <col min="3072" max="3072" width="59.42578125" style="75" customWidth="1"/>
    <col min="3073" max="3073" width="47.42578125" style="75" customWidth="1"/>
    <col min="3074" max="3074" width="44.5703125" style="75" customWidth="1"/>
    <col min="3075" max="3075" width="19" style="75" customWidth="1"/>
    <col min="3076" max="3076" width="11.42578125" style="75" customWidth="1"/>
    <col min="3077" max="3077" width="28.5703125" style="75" customWidth="1"/>
    <col min="3078" max="3327" width="11.42578125" style="75" customWidth="1"/>
    <col min="3328" max="3328" width="59.42578125" style="75" customWidth="1"/>
    <col min="3329" max="3329" width="47.42578125" style="75" customWidth="1"/>
    <col min="3330" max="3330" width="44.5703125" style="75" customWidth="1"/>
    <col min="3331" max="3331" width="19" style="75" customWidth="1"/>
    <col min="3332" max="3332" width="11.42578125" style="75" customWidth="1"/>
    <col min="3333" max="3333" width="28.5703125" style="75" customWidth="1"/>
    <col min="3334" max="3583" width="11.42578125" style="75" customWidth="1"/>
    <col min="3584" max="3584" width="59.42578125" style="75" customWidth="1"/>
    <col min="3585" max="3585" width="47.42578125" style="75" customWidth="1"/>
    <col min="3586" max="3586" width="44.5703125" style="75" customWidth="1"/>
    <col min="3587" max="3587" width="19" style="75" customWidth="1"/>
    <col min="3588" max="3588" width="11.42578125" style="75" customWidth="1"/>
    <col min="3589" max="3589" width="28.5703125" style="75" customWidth="1"/>
    <col min="3590" max="3839" width="11.42578125" style="75" customWidth="1"/>
    <col min="3840" max="3840" width="59.42578125" style="75" customWidth="1"/>
    <col min="3841" max="3841" width="47.42578125" style="75" customWidth="1"/>
    <col min="3842" max="3842" width="44.5703125" style="75" customWidth="1"/>
    <col min="3843" max="3843" width="19" style="75" customWidth="1"/>
    <col min="3844" max="3844" width="11.42578125" style="75" customWidth="1"/>
    <col min="3845" max="3845" width="28.5703125" style="75" customWidth="1"/>
    <col min="3846" max="4095" width="11.42578125" style="75" customWidth="1"/>
    <col min="4096" max="4096" width="59.42578125" style="75" customWidth="1"/>
    <col min="4097" max="4097" width="47.42578125" style="75" customWidth="1"/>
    <col min="4098" max="4098" width="44.5703125" style="75" customWidth="1"/>
    <col min="4099" max="4099" width="19" style="75" customWidth="1"/>
    <col min="4100" max="4100" width="11.42578125" style="75" customWidth="1"/>
    <col min="4101" max="4101" width="28.5703125" style="75" customWidth="1"/>
    <col min="4102" max="4351" width="11.42578125" style="75" customWidth="1"/>
    <col min="4352" max="4352" width="59.42578125" style="75" customWidth="1"/>
    <col min="4353" max="4353" width="47.42578125" style="75" customWidth="1"/>
    <col min="4354" max="4354" width="44.5703125" style="75" customWidth="1"/>
    <col min="4355" max="4355" width="19" style="75" customWidth="1"/>
    <col min="4356" max="4356" width="11.42578125" style="75" customWidth="1"/>
    <col min="4357" max="4357" width="28.5703125" style="75" customWidth="1"/>
    <col min="4358" max="4607" width="11.42578125" style="75" customWidth="1"/>
    <col min="4608" max="4608" width="59.42578125" style="75" customWidth="1"/>
    <col min="4609" max="4609" width="47.42578125" style="75" customWidth="1"/>
    <col min="4610" max="4610" width="44.5703125" style="75" customWidth="1"/>
    <col min="4611" max="4611" width="19" style="75" customWidth="1"/>
    <col min="4612" max="4612" width="11.42578125" style="75" customWidth="1"/>
    <col min="4613" max="4613" width="28.5703125" style="75" customWidth="1"/>
    <col min="4614" max="4863" width="11.42578125" style="75" customWidth="1"/>
    <col min="4864" max="4864" width="59.42578125" style="75" customWidth="1"/>
    <col min="4865" max="4865" width="47.42578125" style="75" customWidth="1"/>
    <col min="4866" max="4866" width="44.5703125" style="75" customWidth="1"/>
    <col min="4867" max="4867" width="19" style="75" customWidth="1"/>
    <col min="4868" max="4868" width="11.42578125" style="75" customWidth="1"/>
    <col min="4869" max="4869" width="28.5703125" style="75" customWidth="1"/>
    <col min="4870" max="5119" width="11.42578125" style="75" customWidth="1"/>
    <col min="5120" max="5120" width="59.42578125" style="75" customWidth="1"/>
    <col min="5121" max="5121" width="47.42578125" style="75" customWidth="1"/>
    <col min="5122" max="5122" width="44.5703125" style="75" customWidth="1"/>
    <col min="5123" max="5123" width="19" style="75" customWidth="1"/>
    <col min="5124" max="5124" width="11.42578125" style="75" customWidth="1"/>
    <col min="5125" max="5125" width="28.5703125" style="75" customWidth="1"/>
    <col min="5126" max="5375" width="11.42578125" style="75" customWidth="1"/>
    <col min="5376" max="5376" width="59.42578125" style="75" customWidth="1"/>
    <col min="5377" max="5377" width="47.42578125" style="75" customWidth="1"/>
    <col min="5378" max="5378" width="44.5703125" style="75" customWidth="1"/>
    <col min="5379" max="5379" width="19" style="75" customWidth="1"/>
    <col min="5380" max="5380" width="11.42578125" style="75" customWidth="1"/>
    <col min="5381" max="5381" width="28.5703125" style="75" customWidth="1"/>
    <col min="5382" max="5631" width="11.42578125" style="75" customWidth="1"/>
    <col min="5632" max="5632" width="59.42578125" style="75" customWidth="1"/>
    <col min="5633" max="5633" width="47.42578125" style="75" customWidth="1"/>
    <col min="5634" max="5634" width="44.5703125" style="75" customWidth="1"/>
    <col min="5635" max="5635" width="19" style="75" customWidth="1"/>
    <col min="5636" max="5636" width="11.42578125" style="75" customWidth="1"/>
    <col min="5637" max="5637" width="28.5703125" style="75" customWidth="1"/>
    <col min="5638" max="5887" width="11.42578125" style="75" customWidth="1"/>
    <col min="5888" max="5888" width="59.42578125" style="75" customWidth="1"/>
    <col min="5889" max="5889" width="47.42578125" style="75" customWidth="1"/>
    <col min="5890" max="5890" width="44.5703125" style="75" customWidth="1"/>
    <col min="5891" max="5891" width="19" style="75" customWidth="1"/>
    <col min="5892" max="5892" width="11.42578125" style="75" customWidth="1"/>
    <col min="5893" max="5893" width="28.5703125" style="75" customWidth="1"/>
    <col min="5894" max="6143" width="11.42578125" style="75" customWidth="1"/>
    <col min="6144" max="6144" width="59.42578125" style="75" customWidth="1"/>
    <col min="6145" max="6145" width="47.42578125" style="75" customWidth="1"/>
    <col min="6146" max="6146" width="44.5703125" style="75" customWidth="1"/>
    <col min="6147" max="6147" width="19" style="75" customWidth="1"/>
    <col min="6148" max="6148" width="11.42578125" style="75" customWidth="1"/>
    <col min="6149" max="6149" width="28.5703125" style="75" customWidth="1"/>
    <col min="6150" max="6399" width="11.42578125" style="75" customWidth="1"/>
    <col min="6400" max="6400" width="59.42578125" style="75" customWidth="1"/>
    <col min="6401" max="6401" width="47.42578125" style="75" customWidth="1"/>
    <col min="6402" max="6402" width="44.5703125" style="75" customWidth="1"/>
    <col min="6403" max="6403" width="19" style="75" customWidth="1"/>
    <col min="6404" max="6404" width="11.42578125" style="75" customWidth="1"/>
    <col min="6405" max="6405" width="28.5703125" style="75" customWidth="1"/>
    <col min="6406" max="6655" width="11.42578125" style="75" customWidth="1"/>
    <col min="6656" max="6656" width="59.42578125" style="75" customWidth="1"/>
    <col min="6657" max="6657" width="47.42578125" style="75" customWidth="1"/>
    <col min="6658" max="6658" width="44.5703125" style="75" customWidth="1"/>
    <col min="6659" max="6659" width="19" style="75" customWidth="1"/>
    <col min="6660" max="6660" width="11.42578125" style="75" customWidth="1"/>
    <col min="6661" max="6661" width="28.5703125" style="75" customWidth="1"/>
    <col min="6662" max="6911" width="11.42578125" style="75" customWidth="1"/>
    <col min="6912" max="6912" width="59.42578125" style="75" customWidth="1"/>
    <col min="6913" max="6913" width="47.42578125" style="75" customWidth="1"/>
    <col min="6914" max="6914" width="44.5703125" style="75" customWidth="1"/>
    <col min="6915" max="6915" width="19" style="75" customWidth="1"/>
    <col min="6916" max="6916" width="11.42578125" style="75" customWidth="1"/>
    <col min="6917" max="6917" width="28.5703125" style="75" customWidth="1"/>
    <col min="6918" max="7167" width="11.42578125" style="75" customWidth="1"/>
    <col min="7168" max="7168" width="59.42578125" style="75" customWidth="1"/>
    <col min="7169" max="7169" width="47.42578125" style="75" customWidth="1"/>
    <col min="7170" max="7170" width="44.5703125" style="75" customWidth="1"/>
    <col min="7171" max="7171" width="19" style="75" customWidth="1"/>
    <col min="7172" max="7172" width="11.42578125" style="75" customWidth="1"/>
    <col min="7173" max="7173" width="28.5703125" style="75" customWidth="1"/>
    <col min="7174" max="7423" width="11.42578125" style="75" customWidth="1"/>
    <col min="7424" max="7424" width="59.42578125" style="75" customWidth="1"/>
    <col min="7425" max="7425" width="47.42578125" style="75" customWidth="1"/>
    <col min="7426" max="7426" width="44.5703125" style="75" customWidth="1"/>
    <col min="7427" max="7427" width="19" style="75" customWidth="1"/>
    <col min="7428" max="7428" width="11.42578125" style="75" customWidth="1"/>
    <col min="7429" max="7429" width="28.5703125" style="75" customWidth="1"/>
    <col min="7430" max="7679" width="11.42578125" style="75" customWidth="1"/>
    <col min="7680" max="7680" width="59.42578125" style="75" customWidth="1"/>
    <col min="7681" max="7681" width="47.42578125" style="75" customWidth="1"/>
    <col min="7682" max="7682" width="44.5703125" style="75" customWidth="1"/>
    <col min="7683" max="7683" width="19" style="75" customWidth="1"/>
    <col min="7684" max="7684" width="11.42578125" style="75" customWidth="1"/>
    <col min="7685" max="7685" width="28.5703125" style="75" customWidth="1"/>
    <col min="7686" max="7935" width="11.42578125" style="75" customWidth="1"/>
    <col min="7936" max="7936" width="59.42578125" style="75" customWidth="1"/>
    <col min="7937" max="7937" width="47.42578125" style="75" customWidth="1"/>
    <col min="7938" max="7938" width="44.5703125" style="75" customWidth="1"/>
    <col min="7939" max="7939" width="19" style="75" customWidth="1"/>
    <col min="7940" max="7940" width="11.42578125" style="75" customWidth="1"/>
    <col min="7941" max="7941" width="28.5703125" style="75" customWidth="1"/>
    <col min="7942" max="8191" width="11.42578125" style="75" customWidth="1"/>
    <col min="8192" max="8192" width="59.42578125" style="75" customWidth="1"/>
    <col min="8193" max="8193" width="47.42578125" style="75" customWidth="1"/>
    <col min="8194" max="8194" width="44.5703125" style="75" customWidth="1"/>
    <col min="8195" max="8195" width="19" style="75" customWidth="1"/>
    <col min="8196" max="8196" width="11.42578125" style="75" customWidth="1"/>
    <col min="8197" max="8197" width="28.5703125" style="75" customWidth="1"/>
    <col min="8198" max="8447" width="11.42578125" style="75" customWidth="1"/>
    <col min="8448" max="8448" width="59.42578125" style="75" customWidth="1"/>
    <col min="8449" max="8449" width="47.42578125" style="75" customWidth="1"/>
    <col min="8450" max="8450" width="44.5703125" style="75" customWidth="1"/>
    <col min="8451" max="8451" width="19" style="75" customWidth="1"/>
    <col min="8452" max="8452" width="11.42578125" style="75" customWidth="1"/>
    <col min="8453" max="8453" width="28.5703125" style="75" customWidth="1"/>
    <col min="8454" max="8703" width="11.42578125" style="75" customWidth="1"/>
    <col min="8704" max="8704" width="59.42578125" style="75" customWidth="1"/>
    <col min="8705" max="8705" width="47.42578125" style="75" customWidth="1"/>
    <col min="8706" max="8706" width="44.5703125" style="75" customWidth="1"/>
    <col min="8707" max="8707" width="19" style="75" customWidth="1"/>
    <col min="8708" max="8708" width="11.42578125" style="75" customWidth="1"/>
    <col min="8709" max="8709" width="28.5703125" style="75" customWidth="1"/>
    <col min="8710" max="8959" width="11.42578125" style="75" customWidth="1"/>
    <col min="8960" max="8960" width="59.42578125" style="75" customWidth="1"/>
    <col min="8961" max="8961" width="47.42578125" style="75" customWidth="1"/>
    <col min="8962" max="8962" width="44.5703125" style="75" customWidth="1"/>
    <col min="8963" max="8963" width="19" style="75" customWidth="1"/>
    <col min="8964" max="8964" width="11.42578125" style="75" customWidth="1"/>
    <col min="8965" max="8965" width="28.5703125" style="75" customWidth="1"/>
    <col min="8966" max="9215" width="11.42578125" style="75" customWidth="1"/>
    <col min="9216" max="9216" width="59.42578125" style="75" customWidth="1"/>
    <col min="9217" max="9217" width="47.42578125" style="75" customWidth="1"/>
    <col min="9218" max="9218" width="44.5703125" style="75" customWidth="1"/>
    <col min="9219" max="9219" width="19" style="75" customWidth="1"/>
    <col min="9220" max="9220" width="11.42578125" style="75" customWidth="1"/>
    <col min="9221" max="9221" width="28.5703125" style="75" customWidth="1"/>
    <col min="9222" max="9471" width="11.42578125" style="75" customWidth="1"/>
    <col min="9472" max="9472" width="59.42578125" style="75" customWidth="1"/>
    <col min="9473" max="9473" width="47.42578125" style="75" customWidth="1"/>
    <col min="9474" max="9474" width="44.5703125" style="75" customWidth="1"/>
    <col min="9475" max="9475" width="19" style="75" customWidth="1"/>
    <col min="9476" max="9476" width="11.42578125" style="75" customWidth="1"/>
    <col min="9477" max="9477" width="28.5703125" style="75" customWidth="1"/>
    <col min="9478" max="9727" width="11.42578125" style="75" customWidth="1"/>
    <col min="9728" max="9728" width="59.42578125" style="75" customWidth="1"/>
    <col min="9729" max="9729" width="47.42578125" style="75" customWidth="1"/>
    <col min="9730" max="9730" width="44.5703125" style="75" customWidth="1"/>
    <col min="9731" max="9731" width="19" style="75" customWidth="1"/>
    <col min="9732" max="9732" width="11.42578125" style="75" customWidth="1"/>
    <col min="9733" max="9733" width="28.5703125" style="75" customWidth="1"/>
    <col min="9734" max="9983" width="11.42578125" style="75" customWidth="1"/>
    <col min="9984" max="9984" width="59.42578125" style="75" customWidth="1"/>
    <col min="9985" max="9985" width="47.42578125" style="75" customWidth="1"/>
    <col min="9986" max="9986" width="44.5703125" style="75" customWidth="1"/>
    <col min="9987" max="9987" width="19" style="75" customWidth="1"/>
    <col min="9988" max="9988" width="11.42578125" style="75" customWidth="1"/>
    <col min="9989" max="9989" width="28.5703125" style="75" customWidth="1"/>
    <col min="9990" max="10239" width="11.42578125" style="75" customWidth="1"/>
    <col min="10240" max="10240" width="59.42578125" style="75" customWidth="1"/>
    <col min="10241" max="10241" width="47.42578125" style="75" customWidth="1"/>
    <col min="10242" max="10242" width="44.5703125" style="75" customWidth="1"/>
    <col min="10243" max="10243" width="19" style="75" customWidth="1"/>
    <col min="10244" max="10244" width="11.42578125" style="75" customWidth="1"/>
    <col min="10245" max="10245" width="28.5703125" style="75" customWidth="1"/>
    <col min="10246" max="10495" width="11.42578125" style="75" customWidth="1"/>
    <col min="10496" max="10496" width="59.42578125" style="75" customWidth="1"/>
    <col min="10497" max="10497" width="47.42578125" style="75" customWidth="1"/>
    <col min="10498" max="10498" width="44.5703125" style="75" customWidth="1"/>
    <col min="10499" max="10499" width="19" style="75" customWidth="1"/>
    <col min="10500" max="10500" width="11.42578125" style="75" customWidth="1"/>
    <col min="10501" max="10501" width="28.5703125" style="75" customWidth="1"/>
    <col min="10502" max="10751" width="11.42578125" style="75" customWidth="1"/>
    <col min="10752" max="10752" width="59.42578125" style="75" customWidth="1"/>
    <col min="10753" max="10753" width="47.42578125" style="75" customWidth="1"/>
    <col min="10754" max="10754" width="44.5703125" style="75" customWidth="1"/>
    <col min="10755" max="10755" width="19" style="75" customWidth="1"/>
    <col min="10756" max="10756" width="11.42578125" style="75" customWidth="1"/>
    <col min="10757" max="10757" width="28.5703125" style="75" customWidth="1"/>
    <col min="10758" max="11007" width="11.42578125" style="75" customWidth="1"/>
    <col min="11008" max="11008" width="59.42578125" style="75" customWidth="1"/>
    <col min="11009" max="11009" width="47.42578125" style="75" customWidth="1"/>
    <col min="11010" max="11010" width="44.5703125" style="75" customWidth="1"/>
    <col min="11011" max="11011" width="19" style="75" customWidth="1"/>
    <col min="11012" max="11012" width="11.42578125" style="75" customWidth="1"/>
    <col min="11013" max="11013" width="28.5703125" style="75" customWidth="1"/>
    <col min="11014" max="11263" width="11.42578125" style="75" customWidth="1"/>
    <col min="11264" max="11264" width="59.42578125" style="75" customWidth="1"/>
    <col min="11265" max="11265" width="47.42578125" style="75" customWidth="1"/>
    <col min="11266" max="11266" width="44.5703125" style="75" customWidth="1"/>
    <col min="11267" max="11267" width="19" style="75" customWidth="1"/>
    <col min="11268" max="11268" width="11.42578125" style="75" customWidth="1"/>
    <col min="11269" max="11269" width="28.5703125" style="75" customWidth="1"/>
    <col min="11270" max="11519" width="11.42578125" style="75" customWidth="1"/>
    <col min="11520" max="11520" width="59.42578125" style="75" customWidth="1"/>
    <col min="11521" max="11521" width="47.42578125" style="75" customWidth="1"/>
    <col min="11522" max="11522" width="44.5703125" style="75" customWidth="1"/>
    <col min="11523" max="11523" width="19" style="75" customWidth="1"/>
    <col min="11524" max="11524" width="11.42578125" style="75" customWidth="1"/>
    <col min="11525" max="11525" width="28.5703125" style="75" customWidth="1"/>
    <col min="11526" max="11775" width="11.42578125" style="75" customWidth="1"/>
    <col min="11776" max="11776" width="59.42578125" style="75" customWidth="1"/>
    <col min="11777" max="11777" width="47.42578125" style="75" customWidth="1"/>
    <col min="11778" max="11778" width="44.5703125" style="75" customWidth="1"/>
    <col min="11779" max="11779" width="19" style="75" customWidth="1"/>
    <col min="11780" max="11780" width="11.42578125" style="75" customWidth="1"/>
    <col min="11781" max="11781" width="28.5703125" style="75" customWidth="1"/>
    <col min="11782" max="12031" width="11.42578125" style="75" customWidth="1"/>
    <col min="12032" max="12032" width="59.42578125" style="75" customWidth="1"/>
    <col min="12033" max="12033" width="47.42578125" style="75" customWidth="1"/>
    <col min="12034" max="12034" width="44.5703125" style="75" customWidth="1"/>
    <col min="12035" max="12035" width="19" style="75" customWidth="1"/>
    <col min="12036" max="12036" width="11.42578125" style="75" customWidth="1"/>
    <col min="12037" max="12037" width="28.5703125" style="75" customWidth="1"/>
    <col min="12038" max="12287" width="11.42578125" style="75" customWidth="1"/>
    <col min="12288" max="12288" width="59.42578125" style="75" customWidth="1"/>
    <col min="12289" max="12289" width="47.42578125" style="75" customWidth="1"/>
    <col min="12290" max="12290" width="44.5703125" style="75" customWidth="1"/>
    <col min="12291" max="12291" width="19" style="75" customWidth="1"/>
    <col min="12292" max="12292" width="11.42578125" style="75" customWidth="1"/>
    <col min="12293" max="12293" width="28.5703125" style="75" customWidth="1"/>
    <col min="12294" max="12543" width="11.42578125" style="75" customWidth="1"/>
    <col min="12544" max="12544" width="59.42578125" style="75" customWidth="1"/>
    <col min="12545" max="12545" width="47.42578125" style="75" customWidth="1"/>
    <col min="12546" max="12546" width="44.5703125" style="75" customWidth="1"/>
    <col min="12547" max="12547" width="19" style="75" customWidth="1"/>
    <col min="12548" max="12548" width="11.42578125" style="75" customWidth="1"/>
    <col min="12549" max="12549" width="28.5703125" style="75" customWidth="1"/>
    <col min="12550" max="12799" width="11.42578125" style="75" customWidth="1"/>
    <col min="12800" max="12800" width="59.42578125" style="75" customWidth="1"/>
    <col min="12801" max="12801" width="47.42578125" style="75" customWidth="1"/>
    <col min="12802" max="12802" width="44.5703125" style="75" customWidth="1"/>
    <col min="12803" max="12803" width="19" style="75" customWidth="1"/>
    <col min="12804" max="12804" width="11.42578125" style="75" customWidth="1"/>
    <col min="12805" max="12805" width="28.5703125" style="75" customWidth="1"/>
    <col min="12806" max="13055" width="11.42578125" style="75" customWidth="1"/>
    <col min="13056" max="13056" width="59.42578125" style="75" customWidth="1"/>
    <col min="13057" max="13057" width="47.42578125" style="75" customWidth="1"/>
    <col min="13058" max="13058" width="44.5703125" style="75" customWidth="1"/>
    <col min="13059" max="13059" width="19" style="75" customWidth="1"/>
    <col min="13060" max="13060" width="11.42578125" style="75" customWidth="1"/>
    <col min="13061" max="13061" width="28.5703125" style="75" customWidth="1"/>
    <col min="13062" max="13311" width="11.42578125" style="75" customWidth="1"/>
    <col min="13312" max="13312" width="59.42578125" style="75" customWidth="1"/>
    <col min="13313" max="13313" width="47.42578125" style="75" customWidth="1"/>
    <col min="13314" max="13314" width="44.5703125" style="75" customWidth="1"/>
    <col min="13315" max="13315" width="19" style="75" customWidth="1"/>
    <col min="13316" max="13316" width="11.42578125" style="75" customWidth="1"/>
    <col min="13317" max="13317" width="28.5703125" style="75" customWidth="1"/>
    <col min="13318" max="13567" width="11.42578125" style="75" customWidth="1"/>
    <col min="13568" max="13568" width="59.42578125" style="75" customWidth="1"/>
    <col min="13569" max="13569" width="47.42578125" style="75" customWidth="1"/>
    <col min="13570" max="13570" width="44.5703125" style="75" customWidth="1"/>
    <col min="13571" max="13571" width="19" style="75" customWidth="1"/>
    <col min="13572" max="13572" width="11.42578125" style="75" customWidth="1"/>
    <col min="13573" max="13573" width="28.5703125" style="75" customWidth="1"/>
    <col min="13574" max="13823" width="11.42578125" style="75" customWidth="1"/>
    <col min="13824" max="13824" width="59.42578125" style="75" customWidth="1"/>
    <col min="13825" max="13825" width="47.42578125" style="75" customWidth="1"/>
    <col min="13826" max="13826" width="44.5703125" style="75" customWidth="1"/>
    <col min="13827" max="13827" width="19" style="75" customWidth="1"/>
    <col min="13828" max="13828" width="11.42578125" style="75" customWidth="1"/>
    <col min="13829" max="13829" width="28.5703125" style="75" customWidth="1"/>
    <col min="13830" max="14079" width="11.42578125" style="75" customWidth="1"/>
    <col min="14080" max="14080" width="59.42578125" style="75" customWidth="1"/>
    <col min="14081" max="14081" width="47.42578125" style="75" customWidth="1"/>
    <col min="14082" max="14082" width="44.5703125" style="75" customWidth="1"/>
    <col min="14083" max="14083" width="19" style="75" customWidth="1"/>
    <col min="14084" max="14084" width="11.42578125" style="75" customWidth="1"/>
    <col min="14085" max="14085" width="28.5703125" style="75" customWidth="1"/>
    <col min="14086" max="14335" width="11.42578125" style="75" customWidth="1"/>
    <col min="14336" max="14336" width="59.42578125" style="75" customWidth="1"/>
    <col min="14337" max="14337" width="47.42578125" style="75" customWidth="1"/>
    <col min="14338" max="14338" width="44.5703125" style="75" customWidth="1"/>
    <col min="14339" max="14339" width="19" style="75" customWidth="1"/>
    <col min="14340" max="14340" width="11.42578125" style="75" customWidth="1"/>
    <col min="14341" max="14341" width="28.5703125" style="75" customWidth="1"/>
    <col min="14342" max="14591" width="11.42578125" style="75" customWidth="1"/>
    <col min="14592" max="14592" width="59.42578125" style="75" customWidth="1"/>
    <col min="14593" max="14593" width="47.42578125" style="75" customWidth="1"/>
    <col min="14594" max="14594" width="44.5703125" style="75" customWidth="1"/>
    <col min="14595" max="14595" width="19" style="75" customWidth="1"/>
    <col min="14596" max="14596" width="11.42578125" style="75" customWidth="1"/>
    <col min="14597" max="14597" width="28.5703125" style="75" customWidth="1"/>
    <col min="14598" max="14847" width="11.42578125" style="75" customWidth="1"/>
    <col min="14848" max="14848" width="59.42578125" style="75" customWidth="1"/>
    <col min="14849" max="14849" width="47.42578125" style="75" customWidth="1"/>
    <col min="14850" max="14850" width="44.5703125" style="75" customWidth="1"/>
    <col min="14851" max="14851" width="19" style="75" customWidth="1"/>
    <col min="14852" max="14852" width="11.42578125" style="75" customWidth="1"/>
    <col min="14853" max="14853" width="28.5703125" style="75" customWidth="1"/>
    <col min="14854" max="15103" width="11.42578125" style="75" customWidth="1"/>
    <col min="15104" max="15104" width="59.42578125" style="75" customWidth="1"/>
    <col min="15105" max="15105" width="47.42578125" style="75" customWidth="1"/>
    <col min="15106" max="15106" width="44.5703125" style="75" customWidth="1"/>
    <col min="15107" max="15107" width="19" style="75" customWidth="1"/>
    <col min="15108" max="15108" width="11.42578125" style="75" customWidth="1"/>
    <col min="15109" max="15109" width="28.5703125" style="75" customWidth="1"/>
    <col min="15110" max="15359" width="11.42578125" style="75" customWidth="1"/>
    <col min="15360" max="15360" width="59.42578125" style="75" customWidth="1"/>
    <col min="15361" max="15361" width="47.42578125" style="75" customWidth="1"/>
    <col min="15362" max="15362" width="44.5703125" style="75" customWidth="1"/>
    <col min="15363" max="15363" width="19" style="75" customWidth="1"/>
    <col min="15364" max="15364" width="11.42578125" style="75" customWidth="1"/>
    <col min="15365" max="15365" width="28.5703125" style="75" customWidth="1"/>
    <col min="15366" max="15615" width="11.42578125" style="75" customWidth="1"/>
    <col min="15616" max="15616" width="59.42578125" style="75" customWidth="1"/>
    <col min="15617" max="15617" width="47.42578125" style="75" customWidth="1"/>
    <col min="15618" max="15618" width="44.5703125" style="75" customWidth="1"/>
    <col min="15619" max="15619" width="19" style="75" customWidth="1"/>
    <col min="15620" max="15620" width="11.42578125" style="75" customWidth="1"/>
    <col min="15621" max="15621" width="28.5703125" style="75" customWidth="1"/>
    <col min="15622" max="15871" width="11.42578125" style="75" customWidth="1"/>
    <col min="15872" max="15872" width="59.42578125" style="75" customWidth="1"/>
    <col min="15873" max="15873" width="47.42578125" style="75" customWidth="1"/>
    <col min="15874" max="15874" width="44.5703125" style="75" customWidth="1"/>
    <col min="15875" max="15875" width="19" style="75" customWidth="1"/>
    <col min="15876" max="15876" width="11.42578125" style="75" customWidth="1"/>
    <col min="15877" max="15877" width="28.5703125" style="75" customWidth="1"/>
    <col min="15878" max="16127" width="11.42578125" style="75" customWidth="1"/>
    <col min="16128" max="16128" width="59.42578125" style="75" customWidth="1"/>
    <col min="16129" max="16129" width="47.42578125" style="75" customWidth="1"/>
    <col min="16130" max="16130" width="44.5703125" style="75" customWidth="1"/>
    <col min="16131" max="16131" width="19" style="75" customWidth="1"/>
    <col min="16132" max="16132" width="11.42578125" style="75" customWidth="1"/>
    <col min="16133" max="16133" width="28.5703125" style="75" customWidth="1"/>
    <col min="16134" max="16384" width="11.42578125" style="75" customWidth="1"/>
  </cols>
  <sheetData>
    <row r="1" spans="1:6" ht="30" customHeight="1">
      <c r="A1" s="208" t="s">
        <v>148</v>
      </c>
      <c r="B1" s="162"/>
      <c r="C1" s="162"/>
      <c r="D1" s="162"/>
      <c r="E1" s="132"/>
      <c r="F1" s="132"/>
    </row>
    <row r="2" spans="1:6">
      <c r="A2" s="204" t="s">
        <v>149</v>
      </c>
      <c r="B2" s="162"/>
      <c r="C2" s="162"/>
      <c r="D2" s="162"/>
      <c r="E2" s="162"/>
      <c r="F2" s="162"/>
    </row>
    <row r="3" spans="1:6" ht="26.25" customHeight="1">
      <c r="A3" s="76"/>
      <c r="B3" s="77"/>
      <c r="C3" s="77"/>
      <c r="D3" s="77"/>
    </row>
    <row r="4" spans="1:6" ht="15.75" customHeight="1">
      <c r="A4" s="198" t="s">
        <v>150</v>
      </c>
      <c r="B4" s="162"/>
      <c r="C4" s="162"/>
      <c r="D4" s="162"/>
      <c r="E4" s="132"/>
      <c r="F4" s="132"/>
    </row>
    <row r="5" spans="1:6" ht="17.25" customHeight="1">
      <c r="A5" s="195" t="s">
        <v>151</v>
      </c>
      <c r="B5" s="162"/>
      <c r="C5" s="162"/>
      <c r="D5" s="162"/>
      <c r="E5" s="135" t="s">
        <v>152</v>
      </c>
      <c r="F5" s="135" t="s">
        <v>153</v>
      </c>
    </row>
    <row r="6" spans="1:6" ht="15.75" customHeight="1">
      <c r="A6" s="77" t="s">
        <v>154</v>
      </c>
      <c r="B6" s="77" t="s">
        <v>155</v>
      </c>
      <c r="C6" s="77" t="s">
        <v>156</v>
      </c>
      <c r="D6" s="77" t="s">
        <v>157</v>
      </c>
      <c r="E6" s="139"/>
      <c r="F6" s="139"/>
    </row>
    <row r="7" spans="1:6" ht="14.25" customHeight="1">
      <c r="A7" s="201" t="s">
        <v>154</v>
      </c>
      <c r="B7" s="206" t="s">
        <v>158</v>
      </c>
      <c r="C7" s="200"/>
      <c r="D7" s="197"/>
      <c r="E7" s="139"/>
      <c r="F7" s="139"/>
    </row>
    <row r="8" spans="1:6">
      <c r="A8" s="202"/>
      <c r="B8" s="201" t="s">
        <v>159</v>
      </c>
      <c r="C8" s="201" t="s">
        <v>156</v>
      </c>
      <c r="D8" s="201" t="s">
        <v>157</v>
      </c>
      <c r="E8" s="139"/>
      <c r="F8" s="139"/>
    </row>
    <row r="9" spans="1:6">
      <c r="A9" s="202"/>
      <c r="B9" s="202"/>
      <c r="C9" s="202"/>
      <c r="D9" s="202"/>
      <c r="E9" s="139"/>
      <c r="F9" s="139"/>
    </row>
    <row r="10" spans="1:6" ht="18" customHeight="1">
      <c r="A10" s="196" t="s">
        <v>160</v>
      </c>
      <c r="B10" s="79" t="s">
        <v>161</v>
      </c>
      <c r="C10" s="79" t="s">
        <v>162</v>
      </c>
      <c r="D10" s="196" t="s">
        <v>163</v>
      </c>
      <c r="E10" s="139"/>
      <c r="F10" s="139"/>
    </row>
    <row r="11" spans="1:6" ht="19.5" customHeight="1">
      <c r="A11" s="202"/>
      <c r="B11" s="79" t="s">
        <v>164</v>
      </c>
      <c r="C11" s="79" t="s">
        <v>162</v>
      </c>
      <c r="D11" s="202"/>
      <c r="E11" s="139"/>
      <c r="F11" s="139"/>
    </row>
    <row r="12" spans="1:6" ht="45.75" customHeight="1">
      <c r="A12" s="202"/>
      <c r="B12" s="79" t="s">
        <v>165</v>
      </c>
      <c r="C12" s="79" t="s">
        <v>162</v>
      </c>
      <c r="D12" s="203"/>
      <c r="E12" s="139"/>
      <c r="F12" s="139"/>
    </row>
    <row r="13" spans="1:6" ht="17.25" customHeight="1">
      <c r="A13" s="202"/>
      <c r="B13" s="196" t="s">
        <v>166</v>
      </c>
      <c r="C13" s="196" t="s">
        <v>162</v>
      </c>
      <c r="D13" s="196" t="s">
        <v>167</v>
      </c>
      <c r="E13" s="139"/>
      <c r="F13" s="139"/>
    </row>
    <row r="14" spans="1:6" ht="12.75" hidden="1" customHeight="1">
      <c r="A14" s="203"/>
      <c r="B14" s="203"/>
      <c r="C14" s="203"/>
      <c r="D14" s="203"/>
      <c r="E14" s="139"/>
      <c r="F14" s="139"/>
    </row>
    <row r="15" spans="1:6" ht="50.25" customHeight="1">
      <c r="A15" s="78" t="s">
        <v>168</v>
      </c>
      <c r="B15" s="209" t="s">
        <v>169</v>
      </c>
      <c r="C15" s="210"/>
      <c r="D15" s="78" t="s">
        <v>170</v>
      </c>
      <c r="E15" s="139"/>
      <c r="F15" s="139"/>
    </row>
    <row r="16" spans="1:6" ht="31.5" customHeight="1">
      <c r="A16" s="196"/>
      <c r="B16" s="78"/>
      <c r="C16" s="78"/>
      <c r="D16" s="196"/>
    </row>
    <row r="17" spans="1:6" ht="31.5" customHeight="1">
      <c r="A17" s="203"/>
      <c r="B17" s="145"/>
      <c r="C17" s="145"/>
      <c r="D17" s="205"/>
      <c r="E17" s="145"/>
      <c r="F17" s="146"/>
    </row>
    <row r="18" spans="1:6" ht="15.75" customHeight="1">
      <c r="A18" s="138" t="s">
        <v>171</v>
      </c>
      <c r="B18" s="138" t="s">
        <v>172</v>
      </c>
      <c r="C18" s="138" t="s">
        <v>173</v>
      </c>
      <c r="D18" s="138" t="s">
        <v>174</v>
      </c>
      <c r="E18" s="134" t="s">
        <v>175</v>
      </c>
      <c r="F18" s="134" t="s">
        <v>176</v>
      </c>
    </row>
    <row r="19" spans="1:6" ht="15.75" customHeight="1">
      <c r="A19" s="77"/>
      <c r="B19" s="77"/>
      <c r="C19" s="77"/>
      <c r="D19" s="77"/>
    </row>
    <row r="20" spans="1:6" ht="15.75" customHeight="1">
      <c r="A20" s="77"/>
      <c r="B20" s="77"/>
      <c r="C20" s="77"/>
      <c r="D20" s="77"/>
    </row>
    <row r="21" spans="1:6" ht="15.75" customHeight="1">
      <c r="A21" s="77"/>
      <c r="B21" s="77"/>
      <c r="C21" s="77"/>
      <c r="D21" s="77"/>
    </row>
    <row r="22" spans="1:6" ht="15.75" customHeight="1">
      <c r="A22" s="206"/>
      <c r="B22" s="206"/>
      <c r="C22" s="200"/>
      <c r="D22" s="197"/>
    </row>
    <row r="23" spans="1:6" ht="15.75" customHeight="1">
      <c r="A23" s="203"/>
      <c r="B23" s="80"/>
      <c r="C23" s="80"/>
      <c r="D23" s="80"/>
    </row>
    <row r="24" spans="1:6" ht="130.5" customHeight="1">
      <c r="A24" s="79"/>
      <c r="B24" s="79"/>
      <c r="C24" s="196"/>
      <c r="D24" s="197"/>
    </row>
    <row r="25" spans="1:6" ht="31.5" customHeight="1">
      <c r="A25" s="78"/>
      <c r="B25" s="78"/>
      <c r="C25" s="78"/>
      <c r="D25" s="78"/>
    </row>
    <row r="26" spans="1:6" ht="15.75" customHeight="1">
      <c r="A26" s="79"/>
      <c r="B26" s="196"/>
      <c r="C26" s="197"/>
      <c r="D26" s="79"/>
    </row>
    <row r="27" spans="1:6" ht="33.75" customHeight="1">
      <c r="A27" s="196"/>
      <c r="B27" s="196"/>
      <c r="C27" s="197"/>
      <c r="D27" s="79"/>
    </row>
    <row r="28" spans="1:6" ht="15.75" customHeight="1">
      <c r="A28" s="203"/>
      <c r="B28" s="196"/>
      <c r="C28" s="197"/>
      <c r="D28" s="79"/>
    </row>
    <row r="29" spans="1:6" ht="15.75" customHeight="1">
      <c r="A29" s="77"/>
      <c r="B29" s="77"/>
      <c r="C29" s="77"/>
      <c r="D29" s="77"/>
    </row>
    <row r="30" spans="1:6" ht="15.75" customHeight="1">
      <c r="A30" s="77"/>
      <c r="B30" s="77"/>
      <c r="C30" s="77"/>
      <c r="D30" s="77"/>
    </row>
    <row r="31" spans="1:6" ht="15.75" customHeight="1">
      <c r="A31" s="77"/>
      <c r="B31" s="77"/>
      <c r="C31" s="77"/>
      <c r="D31" s="77"/>
    </row>
    <row r="32" spans="1:6" ht="15.75" customHeight="1">
      <c r="A32" s="77"/>
      <c r="B32" s="77"/>
      <c r="C32" s="77"/>
      <c r="D32" s="77"/>
    </row>
    <row r="33" spans="1:6" ht="15.75" customHeight="1">
      <c r="A33" s="206"/>
      <c r="B33" s="206"/>
      <c r="C33" s="200"/>
      <c r="D33" s="197"/>
    </row>
    <row r="34" spans="1:6" ht="15.75" customHeight="1">
      <c r="A34" s="203"/>
      <c r="B34" s="80"/>
      <c r="C34" s="80"/>
      <c r="D34" s="80"/>
    </row>
    <row r="35" spans="1:6" ht="31.5" customHeight="1">
      <c r="A35" s="79"/>
      <c r="B35" s="196"/>
      <c r="C35" s="197"/>
      <c r="D35" s="79"/>
    </row>
    <row r="36" spans="1:6" ht="32.25" customHeight="1">
      <c r="A36" s="79"/>
      <c r="B36" s="196"/>
      <c r="C36" s="197"/>
      <c r="D36" s="79"/>
    </row>
    <row r="37" spans="1:6" ht="37.5" customHeight="1">
      <c r="A37" s="199" t="s">
        <v>177</v>
      </c>
      <c r="B37" s="200"/>
      <c r="C37" s="200"/>
      <c r="D37" s="200"/>
      <c r="E37" s="200"/>
      <c r="F37" s="197"/>
    </row>
    <row r="38" spans="1:6" ht="32.25" customHeight="1">
      <c r="A38" s="144"/>
      <c r="B38" s="196"/>
      <c r="C38" s="197"/>
      <c r="D38" s="144"/>
    </row>
    <row r="39" spans="1:6" ht="15.75" customHeight="1">
      <c r="A39" s="77"/>
      <c r="B39" s="77"/>
      <c r="C39" s="77"/>
      <c r="D39" s="77"/>
    </row>
    <row r="40" spans="1:6" ht="15.75" customHeight="1">
      <c r="A40" s="77"/>
      <c r="B40" s="77"/>
      <c r="C40" s="77"/>
      <c r="D40" s="77"/>
    </row>
    <row r="41" spans="1:6" ht="15.75" customHeight="1">
      <c r="A41" s="207"/>
      <c r="B41" s="162"/>
      <c r="C41" s="162"/>
      <c r="D41" s="162"/>
    </row>
    <row r="42" spans="1:6" ht="15.75" customHeight="1">
      <c r="A42" s="207"/>
      <c r="B42" s="162"/>
      <c r="C42" s="162"/>
      <c r="D42" s="162"/>
    </row>
    <row r="43" spans="1:6" ht="15.75" customHeight="1">
      <c r="A43" s="77"/>
      <c r="B43" s="77"/>
      <c r="C43" s="77"/>
      <c r="D43" s="77"/>
    </row>
    <row r="44" spans="1:6" ht="15.75" customHeight="1">
      <c r="A44" s="77"/>
      <c r="B44" s="77"/>
      <c r="C44" s="77"/>
      <c r="D44" s="77"/>
    </row>
    <row r="45" spans="1:6" ht="15.75" customHeight="1">
      <c r="A45" s="207"/>
      <c r="B45" s="162"/>
      <c r="C45" s="162"/>
      <c r="D45" s="162"/>
    </row>
    <row r="46" spans="1:6" ht="15.75" customHeight="1">
      <c r="A46" s="207"/>
      <c r="B46" s="162"/>
      <c r="C46" s="162"/>
      <c r="D46" s="162"/>
    </row>
    <row r="47" spans="1:6" ht="15.75" customHeight="1">
      <c r="A47" s="77"/>
      <c r="B47" s="77"/>
      <c r="C47" s="77"/>
      <c r="D47" s="77"/>
    </row>
    <row r="48" spans="1:6" ht="15.75" customHeight="1">
      <c r="A48" s="77"/>
      <c r="B48" s="77"/>
      <c r="C48" s="77"/>
      <c r="D48" s="77"/>
    </row>
    <row r="49" spans="1:4" ht="15.75" customHeight="1">
      <c r="A49" s="77"/>
      <c r="B49" s="77"/>
      <c r="C49" s="77"/>
      <c r="D49" s="77"/>
    </row>
    <row r="50" spans="1:4" ht="15.75" customHeight="1">
      <c r="A50" s="77"/>
      <c r="B50" s="77"/>
      <c r="C50" s="77"/>
      <c r="D50" s="77"/>
    </row>
  </sheetData>
  <mergeCells count="34">
    <mergeCell ref="A46:D46"/>
    <mergeCell ref="C13:C14"/>
    <mergeCell ref="A7:A9"/>
    <mergeCell ref="B15:C15"/>
    <mergeCell ref="B22:D22"/>
    <mergeCell ref="B36:C36"/>
    <mergeCell ref="B26:C26"/>
    <mergeCell ref="A42:D42"/>
    <mergeCell ref="B35:C35"/>
    <mergeCell ref="A45:D45"/>
    <mergeCell ref="A1:D1"/>
    <mergeCell ref="B38:C38"/>
    <mergeCell ref="A22:A23"/>
    <mergeCell ref="C8:C9"/>
    <mergeCell ref="A33:A34"/>
    <mergeCell ref="B28:C28"/>
    <mergeCell ref="D8:D9"/>
    <mergeCell ref="A41:D41"/>
    <mergeCell ref="B7:D7"/>
    <mergeCell ref="A2:F2"/>
    <mergeCell ref="A27:A28"/>
    <mergeCell ref="B13:B14"/>
    <mergeCell ref="D13:D14"/>
    <mergeCell ref="A10:A14"/>
    <mergeCell ref="D16:D17"/>
    <mergeCell ref="D10:D12"/>
    <mergeCell ref="A5:D5"/>
    <mergeCell ref="C24:D24"/>
    <mergeCell ref="A4:D4"/>
    <mergeCell ref="A37:F37"/>
    <mergeCell ref="B8:B9"/>
    <mergeCell ref="A16:A17"/>
    <mergeCell ref="B27:C27"/>
    <mergeCell ref="B33:D33"/>
  </mergeCells>
  <dataValidations count="2">
    <dataValidation type="list" sqref="E6:E15" xr:uid="{00000000-0002-0000-0500-000000000000}">
      <formula1>"Non concerné,Sous le seuil,Au-dessus du seuil,À évaluer"</formula1>
    </dataValidation>
    <dataValidation type="list" sqref="E19:E35" xr:uid="{00000000-0002-0000-0500-000001000000}">
      <formula1>"Non exposé,Sous le seuil,Seuil dépassé,Mesure à confirmer"</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221"/>
  <sheetViews>
    <sheetView workbookViewId="0">
      <pane ySplit="5" topLeftCell="A6" activePane="bottomLeft" state="frozen"/>
      <selection pane="bottomLeft" sqref="A1:AH1"/>
    </sheetView>
  </sheetViews>
  <sheetFormatPr baseColWidth="10" defaultColWidth="9.140625" defaultRowHeight="12.75"/>
  <cols>
    <col min="1" max="1" width="12" customWidth="1"/>
    <col min="2" max="2" width="10" customWidth="1"/>
    <col min="3" max="3" width="18" customWidth="1"/>
    <col min="4" max="4" width="25" customWidth="1"/>
    <col min="5" max="5" width="22" customWidth="1"/>
    <col min="6" max="6" width="32" customWidth="1"/>
    <col min="7" max="7" width="24" customWidth="1"/>
    <col min="8" max="8" width="12" customWidth="1"/>
    <col min="9" max="9" width="16" customWidth="1"/>
    <col min="10" max="10" width="10" customWidth="1"/>
    <col min="11" max="11" width="16" customWidth="1"/>
    <col min="12" max="12" width="24" customWidth="1"/>
    <col min="13" max="13" width="15" customWidth="1"/>
    <col min="14" max="14" width="28" customWidth="1"/>
    <col min="15" max="15" width="38" customWidth="1"/>
    <col min="16" max="16" width="28" customWidth="1"/>
    <col min="17" max="17" width="36" customWidth="1"/>
    <col min="18" max="18" width="18" customWidth="1"/>
    <col min="19" max="19" width="20" customWidth="1"/>
    <col min="20" max="20" width="32" customWidth="1"/>
    <col min="21" max="21" width="16" customWidth="1"/>
    <col min="22" max="22" width="14" customWidth="1"/>
    <col min="23" max="23" width="18" customWidth="1"/>
    <col min="24" max="24" width="30" customWidth="1"/>
    <col min="25" max="26" width="14" customWidth="1"/>
    <col min="27" max="27" width="12" customWidth="1"/>
    <col min="28" max="28" width="14" customWidth="1"/>
    <col min="29" max="29" width="18" customWidth="1"/>
    <col min="30" max="30" width="16" customWidth="1"/>
    <col min="31" max="31" width="32" customWidth="1"/>
    <col min="32" max="33" width="34" customWidth="1"/>
    <col min="34" max="34" width="15" customWidth="1"/>
  </cols>
  <sheetData>
    <row r="1" spans="1:34" ht="19.5">
      <c r="A1" s="213" t="s">
        <v>178</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row>
    <row r="2" spans="1:34">
      <c r="A2" s="211" t="s">
        <v>179</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row>
    <row r="3" spans="1:34">
      <c r="A3" t="s">
        <v>180</v>
      </c>
      <c r="B3">
        <v>13</v>
      </c>
      <c r="D3" t="s">
        <v>181</v>
      </c>
      <c r="E3">
        <v>2026</v>
      </c>
      <c r="G3" s="212" t="s">
        <v>182</v>
      </c>
      <c r="H3" s="162"/>
      <c r="I3" s="162"/>
      <c r="J3" s="162"/>
      <c r="K3" s="162"/>
      <c r="L3" s="162"/>
      <c r="M3" s="162"/>
    </row>
    <row r="5" spans="1:34" ht="38.25">
      <c r="A5" s="147" t="s">
        <v>183</v>
      </c>
      <c r="B5" s="147" t="s">
        <v>184</v>
      </c>
      <c r="C5" s="147" t="s">
        <v>185</v>
      </c>
      <c r="D5" s="147" t="s">
        <v>84</v>
      </c>
      <c r="E5" s="147" t="s">
        <v>186</v>
      </c>
      <c r="F5" s="147" t="s">
        <v>187</v>
      </c>
      <c r="G5" s="147" t="s">
        <v>87</v>
      </c>
      <c r="H5" s="147" t="s">
        <v>188</v>
      </c>
      <c r="I5" s="147" t="s">
        <v>189</v>
      </c>
      <c r="J5" s="147" t="s">
        <v>190</v>
      </c>
      <c r="K5" s="147" t="s">
        <v>191</v>
      </c>
      <c r="L5" s="147" t="s">
        <v>192</v>
      </c>
      <c r="M5" s="147" t="s">
        <v>193</v>
      </c>
      <c r="N5" s="147" t="s">
        <v>194</v>
      </c>
      <c r="O5" s="147" t="s">
        <v>195</v>
      </c>
      <c r="P5" s="147" t="s">
        <v>196</v>
      </c>
      <c r="Q5" s="147" t="s">
        <v>197</v>
      </c>
      <c r="R5" s="147" t="s">
        <v>100</v>
      </c>
      <c r="S5" s="147" t="s">
        <v>198</v>
      </c>
      <c r="T5" s="147" t="s">
        <v>199</v>
      </c>
      <c r="U5" s="147" t="s">
        <v>200</v>
      </c>
      <c r="V5" s="147" t="s">
        <v>201</v>
      </c>
      <c r="W5" s="147" t="s">
        <v>202</v>
      </c>
      <c r="X5" s="147" t="s">
        <v>203</v>
      </c>
      <c r="Y5" s="147" t="s">
        <v>204</v>
      </c>
      <c r="Z5" s="147" t="s">
        <v>205</v>
      </c>
      <c r="AA5" s="147" t="s">
        <v>206</v>
      </c>
      <c r="AB5" s="147" t="s">
        <v>207</v>
      </c>
      <c r="AC5" s="147" t="s">
        <v>104</v>
      </c>
      <c r="AD5" s="147" t="s">
        <v>208</v>
      </c>
      <c r="AE5" s="147" t="s">
        <v>209</v>
      </c>
      <c r="AF5" s="147" t="s">
        <v>210</v>
      </c>
      <c r="AG5" s="147" t="s">
        <v>211</v>
      </c>
      <c r="AH5" s="147" t="s">
        <v>212</v>
      </c>
    </row>
    <row r="6" spans="1:34">
      <c r="A6" s="148" t="str">
        <f>IF(OR(IFERROR('0'!$W$6&gt;=$B$3,FALSE),'0'!$AC$6="Forcée",'0'!$X$6&lt;&gt;"",'0'!$AA$6&lt;&gt;""),"0-6","")</f>
        <v/>
      </c>
      <c r="B6" s="148" t="str">
        <f>IF(OR(IFERROR('0'!$W$6&gt;=$B$3,FALSE),'0'!$AC$6="Forcée",'0'!$X$6&lt;&gt;"",'0'!$AA$6&lt;&gt;""),"0","")</f>
        <v/>
      </c>
      <c r="C6" s="148" t="str">
        <f>IF(OR(IFERROR('0'!$W$6&gt;=$B$3,FALSE),'0'!$AC$6="Forcée",'0'!$X$6&lt;&gt;"",'0'!$AA$6&lt;&gt;""),'0'!$A$6,"")</f>
        <v/>
      </c>
      <c r="D6" s="148" t="str">
        <f>IF(OR(IFERROR('0'!$W$6&gt;=$B$3,FALSE),'0'!$AC$6="Forcée",'0'!$X$6&lt;&gt;"",'0'!$AA$6&lt;&gt;""),'0'!$B$6,"")</f>
        <v/>
      </c>
      <c r="E6" s="148" t="str">
        <f>IF(OR(IFERROR('0'!$W$6&gt;=$B$3,FALSE),'0'!$AC$6="Forcée",'0'!$X$6&lt;&gt;"",'0'!$AA$6&lt;&gt;""),'0'!$C$6,"")</f>
        <v/>
      </c>
      <c r="F6" s="148" t="str">
        <f>IF(OR(IFERROR('0'!$W$6&gt;=$B$3,FALSE),'0'!$AC$6="Forcée",'0'!$X$6&lt;&gt;"",'0'!$AA$6&lt;&gt;""),'0'!$D$6,"")</f>
        <v/>
      </c>
      <c r="G6" s="148" t="str">
        <f>IF(OR(IFERROR('0'!$W$6&gt;=$B$3,FALSE),'0'!$AC$6="Forcée",'0'!$X$6&lt;&gt;"",'0'!$AA$6&lt;&gt;""),'0'!$E$6,"")</f>
        <v/>
      </c>
      <c r="H6" s="148" t="str">
        <f>IF(OR(IFERROR('0'!$W$6&gt;=$B$3,FALSE),'0'!$AC$6="Forcée",'0'!$X$6&lt;&gt;"",'0'!$AA$6&lt;&gt;""),'0'!$H$6,"")</f>
        <v/>
      </c>
      <c r="I6" s="148" t="str">
        <f>IF(OR(IFERROR('0'!$W$6&gt;=$B$3,FALSE),'0'!$AC$6="Forcée",'0'!$X$6&lt;&gt;"",'0'!$AA$6&lt;&gt;""),'0'!$W$6,"")</f>
        <v/>
      </c>
      <c r="J6" s="148" t="str">
        <f t="shared" ref="J6:J69" si="0">IF(A6="","",$B$3)</f>
        <v/>
      </c>
      <c r="K6" s="148" t="str">
        <f>IF(A6="","",IF('0'!$AC$6="Forcée","Forcée",IF('0'!$AC$6="Exclue","Exclue","Automatique")))</f>
        <v/>
      </c>
      <c r="L6" s="148" t="str">
        <f>IF(A6="","",IF('0'!$AC$6="Exclue","Exclu",IF('0'!$W$6&gt;=$B$3,"Actif - risque significatif",IF(AND('0'!$W$6&lt;$B$3,'0'!$AD$6="Oui"),"Maîtrisé / clôturable","Maîtrisé - à vérifier"))))</f>
        <v/>
      </c>
      <c r="M6" s="148" t="str">
        <f>IF(A6="","",IF('0'!$W$6&gt;=16,"P1 - Critique",IF('0'!$W$6&gt;=13,"P2 - Haute",IF('0'!$W$6&gt;=9,"P3 - Moyenne","P4 - Basse"))))</f>
        <v/>
      </c>
      <c r="N6" s="148"/>
      <c r="O6" s="148" t="str">
        <f>IF(A6="","",'0'!$X$6)</f>
        <v/>
      </c>
      <c r="P6" s="148"/>
      <c r="Q6" s="148"/>
      <c r="R6" s="148" t="str">
        <f>IF(A6="","",'0'!$Z$6)</f>
        <v/>
      </c>
      <c r="S6" s="148"/>
      <c r="T6" s="148"/>
      <c r="U6" s="149"/>
      <c r="V6" s="150"/>
      <c r="W6" s="150" t="str">
        <f>IF(A6="","",'0'!$Y$6)</f>
        <v/>
      </c>
      <c r="X6" s="148"/>
      <c r="Y6" s="148"/>
      <c r="Z6" s="148"/>
      <c r="AA6" s="148"/>
      <c r="AB6" s="148" t="str">
        <f>IF(A6="","",'0'!$AA$6)</f>
        <v/>
      </c>
      <c r="AC6" s="148" t="str">
        <f>IF(A6="","",'0'!$AD$6)</f>
        <v/>
      </c>
      <c r="AD6" s="150" t="str">
        <f>IF(A6="","",'0'!$AE$6)</f>
        <v/>
      </c>
      <c r="AE6" s="148"/>
      <c r="AF6" s="148"/>
      <c r="AG6" s="148" t="str">
        <f>IF(A6="","",'0'!$AF$6)</f>
        <v/>
      </c>
      <c r="AH6" s="151" t="str">
        <f t="shared" ref="AH6:AH69" si="1">IF(A6="","",IFERROR((H6-I6)/H6,0))</f>
        <v/>
      </c>
    </row>
    <row r="7" spans="1:34">
      <c r="A7" s="148" t="str">
        <f>IF(OR(IFERROR('0'!$W$7&gt;=$B$3,FALSE),'0'!$AC$7="Forcée",'0'!$X$7&lt;&gt;"",'0'!$AA$7&lt;&gt;""),"0-7","")</f>
        <v/>
      </c>
      <c r="B7" s="148" t="str">
        <f>IF(OR(IFERROR('0'!$W$7&gt;=$B$3,FALSE),'0'!$AC$7="Forcée",'0'!$X$7&lt;&gt;"",'0'!$AA$7&lt;&gt;""),"0","")</f>
        <v/>
      </c>
      <c r="C7" s="148" t="str">
        <f>IF(OR(IFERROR('0'!$W$7&gt;=$B$3,FALSE),'0'!$AC$7="Forcée",'0'!$X$7&lt;&gt;"",'0'!$AA$7&lt;&gt;""),'0'!$A$7,"")</f>
        <v/>
      </c>
      <c r="D7" s="148" t="str">
        <f>IF(OR(IFERROR('0'!$W$7&gt;=$B$3,FALSE),'0'!$AC$7="Forcée",'0'!$X$7&lt;&gt;"",'0'!$AA$7&lt;&gt;""),'0'!$B$7,"")</f>
        <v/>
      </c>
      <c r="E7" s="148" t="str">
        <f>IF(OR(IFERROR('0'!$W$7&gt;=$B$3,FALSE),'0'!$AC$7="Forcée",'0'!$X$7&lt;&gt;"",'0'!$AA$7&lt;&gt;""),'0'!$C$7,"")</f>
        <v/>
      </c>
      <c r="F7" s="148" t="str">
        <f>IF(OR(IFERROR('0'!$W$7&gt;=$B$3,FALSE),'0'!$AC$7="Forcée",'0'!$X$7&lt;&gt;"",'0'!$AA$7&lt;&gt;""),'0'!$D$7,"")</f>
        <v/>
      </c>
      <c r="G7" s="148" t="str">
        <f>IF(OR(IFERROR('0'!$W$7&gt;=$B$3,FALSE),'0'!$AC$7="Forcée",'0'!$X$7&lt;&gt;"",'0'!$AA$7&lt;&gt;""),'0'!$E$7,"")</f>
        <v/>
      </c>
      <c r="H7" s="148" t="str">
        <f>IF(OR(IFERROR('0'!$W$7&gt;=$B$3,FALSE),'0'!$AC$7="Forcée",'0'!$X$7&lt;&gt;"",'0'!$AA$7&lt;&gt;""),'0'!$H$7,"")</f>
        <v/>
      </c>
      <c r="I7" s="148" t="str">
        <f>IF(OR(IFERROR('0'!$W$7&gt;=$B$3,FALSE),'0'!$AC$7="Forcée",'0'!$X$7&lt;&gt;"",'0'!$AA$7&lt;&gt;""),'0'!$W$7,"")</f>
        <v/>
      </c>
      <c r="J7" s="148" t="str">
        <f t="shared" si="0"/>
        <v/>
      </c>
      <c r="K7" s="148" t="str">
        <f>IF(A7="","",IF('0'!$AC$7="Forcée","Forcée",IF('0'!$AC$7="Exclue","Exclue","Automatique")))</f>
        <v/>
      </c>
      <c r="L7" s="148" t="str">
        <f>IF(A7="","",IF('0'!$AC$7="Exclue","Exclu",IF('0'!$W$7&gt;=$B$3,"Actif - risque significatif",IF(AND('0'!$W$7&lt;$B$3,'0'!$AD$7="Oui"),"Maîtrisé / clôturable","Maîtrisé - à vérifier"))))</f>
        <v/>
      </c>
      <c r="M7" s="148" t="str">
        <f>IF(A7="","",IF('0'!$W$7&gt;=16,"P1 - Critique",IF('0'!$W$7&gt;=13,"P2 - Haute",IF('0'!$W$7&gt;=9,"P3 - Moyenne","P4 - Basse"))))</f>
        <v/>
      </c>
      <c r="N7" s="148"/>
      <c r="O7" s="148" t="str">
        <f>IF(A7="","",'0'!$X$7)</f>
        <v/>
      </c>
      <c r="P7" s="148"/>
      <c r="Q7" s="148"/>
      <c r="R7" s="148" t="str">
        <f>IF(A7="","",'0'!$Z$7)</f>
        <v/>
      </c>
      <c r="S7" s="148"/>
      <c r="T7" s="148"/>
      <c r="U7" s="149"/>
      <c r="V7" s="150"/>
      <c r="W7" s="150" t="str">
        <f>IF(A7="","",'0'!$Y$7)</f>
        <v/>
      </c>
      <c r="X7" s="148"/>
      <c r="Y7" s="148"/>
      <c r="Z7" s="148"/>
      <c r="AA7" s="148"/>
      <c r="AB7" s="148" t="str">
        <f>IF(A7="","",'0'!$AA$7)</f>
        <v/>
      </c>
      <c r="AC7" s="148" t="str">
        <f>IF(A7="","",'0'!$AD$7)</f>
        <v/>
      </c>
      <c r="AD7" s="150" t="str">
        <f>IF(A7="","",'0'!$AE$7)</f>
        <v/>
      </c>
      <c r="AE7" s="148"/>
      <c r="AF7" s="148"/>
      <c r="AG7" s="148" t="str">
        <f>IF(A7="","",'0'!$AF$7)</f>
        <v/>
      </c>
      <c r="AH7" s="151" t="str">
        <f t="shared" si="1"/>
        <v/>
      </c>
    </row>
    <row r="8" spans="1:34">
      <c r="A8" s="148" t="str">
        <f>IF(OR(IFERROR('0'!$W$8&gt;=$B$3,FALSE),'0'!$AC$8="Forcée",'0'!$X$8&lt;&gt;"",'0'!$AA$8&lt;&gt;""),"0-8","")</f>
        <v/>
      </c>
      <c r="B8" s="148" t="str">
        <f>IF(OR(IFERROR('0'!$W$8&gt;=$B$3,FALSE),'0'!$AC$8="Forcée",'0'!$X$8&lt;&gt;"",'0'!$AA$8&lt;&gt;""),"0","")</f>
        <v/>
      </c>
      <c r="C8" s="148" t="str">
        <f>IF(OR(IFERROR('0'!$W$8&gt;=$B$3,FALSE),'0'!$AC$8="Forcée",'0'!$X$8&lt;&gt;"",'0'!$AA$8&lt;&gt;""),'0'!$A$8,"")</f>
        <v/>
      </c>
      <c r="D8" s="148" t="str">
        <f>IF(OR(IFERROR('0'!$W$8&gt;=$B$3,FALSE),'0'!$AC$8="Forcée",'0'!$X$8&lt;&gt;"",'0'!$AA$8&lt;&gt;""),'0'!$B$8,"")</f>
        <v/>
      </c>
      <c r="E8" s="148" t="str">
        <f>IF(OR(IFERROR('0'!$W$8&gt;=$B$3,FALSE),'0'!$AC$8="Forcée",'0'!$X$8&lt;&gt;"",'0'!$AA$8&lt;&gt;""),'0'!$C$8,"")</f>
        <v/>
      </c>
      <c r="F8" s="148" t="str">
        <f>IF(OR(IFERROR('0'!$W$8&gt;=$B$3,FALSE),'0'!$AC$8="Forcée",'0'!$X$8&lt;&gt;"",'0'!$AA$8&lt;&gt;""),'0'!$D$8,"")</f>
        <v/>
      </c>
      <c r="G8" s="148" t="str">
        <f>IF(OR(IFERROR('0'!$W$8&gt;=$B$3,FALSE),'0'!$AC$8="Forcée",'0'!$X$8&lt;&gt;"",'0'!$AA$8&lt;&gt;""),'0'!$E$8,"")</f>
        <v/>
      </c>
      <c r="H8" s="148" t="str">
        <f>IF(OR(IFERROR('0'!$W$8&gt;=$B$3,FALSE),'0'!$AC$8="Forcée",'0'!$X$8&lt;&gt;"",'0'!$AA$8&lt;&gt;""),'0'!$H$8,"")</f>
        <v/>
      </c>
      <c r="I8" s="148" t="str">
        <f>IF(OR(IFERROR('0'!$W$8&gt;=$B$3,FALSE),'0'!$AC$8="Forcée",'0'!$X$8&lt;&gt;"",'0'!$AA$8&lt;&gt;""),'0'!$W$8,"")</f>
        <v/>
      </c>
      <c r="J8" s="148" t="str">
        <f t="shared" si="0"/>
        <v/>
      </c>
      <c r="K8" s="148" t="str">
        <f>IF(A8="","",IF('0'!$AC$8="Forcée","Forcée",IF('0'!$AC$8="Exclue","Exclue","Automatique")))</f>
        <v/>
      </c>
      <c r="L8" s="148" t="str">
        <f>IF(A8="","",IF('0'!$AC$8="Exclue","Exclu",IF('0'!$W$8&gt;=$B$3,"Actif - risque significatif",IF(AND('0'!$W$8&lt;$B$3,'0'!$AD$8="Oui"),"Maîtrisé / clôturable","Maîtrisé - à vérifier"))))</f>
        <v/>
      </c>
      <c r="M8" s="148" t="str">
        <f>IF(A8="","",IF('0'!$W$8&gt;=16,"P1 - Critique",IF('0'!$W$8&gt;=13,"P2 - Haute",IF('0'!$W$8&gt;=9,"P3 - Moyenne","P4 - Basse"))))</f>
        <v/>
      </c>
      <c r="N8" s="148"/>
      <c r="O8" s="148" t="str">
        <f>IF(A8="","",'0'!$X$8)</f>
        <v/>
      </c>
      <c r="P8" s="148"/>
      <c r="Q8" s="148"/>
      <c r="R8" s="148" t="str">
        <f>IF(A8="","",'0'!$Z$8)</f>
        <v/>
      </c>
      <c r="S8" s="148"/>
      <c r="T8" s="148"/>
      <c r="U8" s="149"/>
      <c r="V8" s="150"/>
      <c r="W8" s="150" t="str">
        <f>IF(A8="","",'0'!$Y$8)</f>
        <v/>
      </c>
      <c r="X8" s="148"/>
      <c r="Y8" s="148"/>
      <c r="Z8" s="148"/>
      <c r="AA8" s="148"/>
      <c r="AB8" s="148" t="str">
        <f>IF(A8="","",'0'!$AA$8)</f>
        <v/>
      </c>
      <c r="AC8" s="148" t="str">
        <f>IF(A8="","",'0'!$AD$8)</f>
        <v/>
      </c>
      <c r="AD8" s="150" t="str">
        <f>IF(A8="","",'0'!$AE$8)</f>
        <v/>
      </c>
      <c r="AE8" s="148"/>
      <c r="AF8" s="148"/>
      <c r="AG8" s="148" t="str">
        <f>IF(A8="","",'0'!$AF$8)</f>
        <v/>
      </c>
      <c r="AH8" s="151" t="str">
        <f t="shared" si="1"/>
        <v/>
      </c>
    </row>
    <row r="9" spans="1:34">
      <c r="A9" s="148" t="str">
        <f>IF(OR(IFERROR('0'!$W$9&gt;=$B$3,FALSE),'0'!$AC$9="Forcée",'0'!$X$9&lt;&gt;"",'0'!$AA$9&lt;&gt;""),"0-9","")</f>
        <v/>
      </c>
      <c r="B9" s="148" t="str">
        <f>IF(OR(IFERROR('0'!$W$9&gt;=$B$3,FALSE),'0'!$AC$9="Forcée",'0'!$X$9&lt;&gt;"",'0'!$AA$9&lt;&gt;""),"0","")</f>
        <v/>
      </c>
      <c r="C9" s="148" t="str">
        <f>IF(OR(IFERROR('0'!$W$9&gt;=$B$3,FALSE),'0'!$AC$9="Forcée",'0'!$X$9&lt;&gt;"",'0'!$AA$9&lt;&gt;""),'0'!$A$9,"")</f>
        <v/>
      </c>
      <c r="D9" s="148" t="str">
        <f>IF(OR(IFERROR('0'!$W$9&gt;=$B$3,FALSE),'0'!$AC$9="Forcée",'0'!$X$9&lt;&gt;"",'0'!$AA$9&lt;&gt;""),'0'!$B$9,"")</f>
        <v/>
      </c>
      <c r="E9" s="148" t="str">
        <f>IF(OR(IFERROR('0'!$W$9&gt;=$B$3,FALSE),'0'!$AC$9="Forcée",'0'!$X$9&lt;&gt;"",'0'!$AA$9&lt;&gt;""),'0'!$C$9,"")</f>
        <v/>
      </c>
      <c r="F9" s="148" t="str">
        <f>IF(OR(IFERROR('0'!$W$9&gt;=$B$3,FALSE),'0'!$AC$9="Forcée",'0'!$X$9&lt;&gt;"",'0'!$AA$9&lt;&gt;""),'0'!$D$9,"")</f>
        <v/>
      </c>
      <c r="G9" s="148" t="str">
        <f>IF(OR(IFERROR('0'!$W$9&gt;=$B$3,FALSE),'0'!$AC$9="Forcée",'0'!$X$9&lt;&gt;"",'0'!$AA$9&lt;&gt;""),'0'!$E$9,"")</f>
        <v/>
      </c>
      <c r="H9" s="148" t="str">
        <f>IF(OR(IFERROR('0'!$W$9&gt;=$B$3,FALSE),'0'!$AC$9="Forcée",'0'!$X$9&lt;&gt;"",'0'!$AA$9&lt;&gt;""),'0'!$H$9,"")</f>
        <v/>
      </c>
      <c r="I9" s="148" t="str">
        <f>IF(OR(IFERROR('0'!$W$9&gt;=$B$3,FALSE),'0'!$AC$9="Forcée",'0'!$X$9&lt;&gt;"",'0'!$AA$9&lt;&gt;""),'0'!$W$9,"")</f>
        <v/>
      </c>
      <c r="J9" s="148" t="str">
        <f t="shared" si="0"/>
        <v/>
      </c>
      <c r="K9" s="148" t="str">
        <f>IF(A9="","",IF('0'!$AC$9="Forcée","Forcée",IF('0'!$AC$9="Exclue","Exclue","Automatique")))</f>
        <v/>
      </c>
      <c r="L9" s="148" t="str">
        <f>IF(A9="","",IF('0'!$AC$9="Exclue","Exclu",IF('0'!$W$9&gt;=$B$3,"Actif - risque significatif",IF(AND('0'!$W$9&lt;$B$3,'0'!$AD$9="Oui"),"Maîtrisé / clôturable","Maîtrisé - à vérifier"))))</f>
        <v/>
      </c>
      <c r="M9" s="148" t="str">
        <f>IF(A9="","",IF('0'!$W$9&gt;=16,"P1 - Critique",IF('0'!$W$9&gt;=13,"P2 - Haute",IF('0'!$W$9&gt;=9,"P3 - Moyenne","P4 - Basse"))))</f>
        <v/>
      </c>
      <c r="N9" s="148"/>
      <c r="O9" s="148" t="str">
        <f>IF(A9="","",'0'!$X$9)</f>
        <v/>
      </c>
      <c r="P9" s="148"/>
      <c r="Q9" s="148"/>
      <c r="R9" s="148" t="str">
        <f>IF(A9="","",'0'!$Z$9)</f>
        <v/>
      </c>
      <c r="S9" s="148"/>
      <c r="T9" s="148"/>
      <c r="U9" s="149"/>
      <c r="V9" s="150"/>
      <c r="W9" s="150" t="str">
        <f>IF(A9="","",'0'!$Y$9)</f>
        <v/>
      </c>
      <c r="X9" s="148"/>
      <c r="Y9" s="148"/>
      <c r="Z9" s="148"/>
      <c r="AA9" s="148"/>
      <c r="AB9" s="148" t="str">
        <f>IF(A9="","",'0'!$AA$9)</f>
        <v/>
      </c>
      <c r="AC9" s="148" t="str">
        <f>IF(A9="","",'0'!$AD$9)</f>
        <v/>
      </c>
      <c r="AD9" s="150" t="str">
        <f>IF(A9="","",'0'!$AE$9)</f>
        <v/>
      </c>
      <c r="AE9" s="148"/>
      <c r="AF9" s="148"/>
      <c r="AG9" s="148" t="str">
        <f>IF(A9="","",'0'!$AF$9)</f>
        <v/>
      </c>
      <c r="AH9" s="151" t="str">
        <f t="shared" si="1"/>
        <v/>
      </c>
    </row>
    <row r="10" spans="1:34">
      <c r="A10" s="148" t="str">
        <f>IF(OR(IFERROR('0'!$W$10&gt;=$B$3,FALSE),'0'!$AC$10="Forcée",'0'!$X$10&lt;&gt;"",'0'!$AA$10&lt;&gt;""),"0-10","")</f>
        <v/>
      </c>
      <c r="B10" s="148" t="str">
        <f>IF(OR(IFERROR('0'!$W$10&gt;=$B$3,FALSE),'0'!$AC$10="Forcée",'0'!$X$10&lt;&gt;"",'0'!$AA$10&lt;&gt;""),"0","")</f>
        <v/>
      </c>
      <c r="C10" s="148" t="str">
        <f>IF(OR(IFERROR('0'!$W$10&gt;=$B$3,FALSE),'0'!$AC$10="Forcée",'0'!$X$10&lt;&gt;"",'0'!$AA$10&lt;&gt;""),'0'!$A$10,"")</f>
        <v/>
      </c>
      <c r="D10" s="148" t="str">
        <f>IF(OR(IFERROR('0'!$W$10&gt;=$B$3,FALSE),'0'!$AC$10="Forcée",'0'!$X$10&lt;&gt;"",'0'!$AA$10&lt;&gt;""),'0'!$B$10,"")</f>
        <v/>
      </c>
      <c r="E10" s="148" t="str">
        <f>IF(OR(IFERROR('0'!$W$10&gt;=$B$3,FALSE),'0'!$AC$10="Forcée",'0'!$X$10&lt;&gt;"",'0'!$AA$10&lt;&gt;""),'0'!$C$10,"")</f>
        <v/>
      </c>
      <c r="F10" s="148" t="str">
        <f>IF(OR(IFERROR('0'!$W$10&gt;=$B$3,FALSE),'0'!$AC$10="Forcée",'0'!$X$10&lt;&gt;"",'0'!$AA$10&lt;&gt;""),'0'!$D$10,"")</f>
        <v/>
      </c>
      <c r="G10" s="148" t="str">
        <f>IF(OR(IFERROR('0'!$W$10&gt;=$B$3,FALSE),'0'!$AC$10="Forcée",'0'!$X$10&lt;&gt;"",'0'!$AA$10&lt;&gt;""),'0'!$E$10,"")</f>
        <v/>
      </c>
      <c r="H10" s="148" t="str">
        <f>IF(OR(IFERROR('0'!$W$10&gt;=$B$3,FALSE),'0'!$AC$10="Forcée",'0'!$X$10&lt;&gt;"",'0'!$AA$10&lt;&gt;""),'0'!$H$10,"")</f>
        <v/>
      </c>
      <c r="I10" s="148" t="str">
        <f>IF(OR(IFERROR('0'!$W$10&gt;=$B$3,FALSE),'0'!$AC$10="Forcée",'0'!$X$10&lt;&gt;"",'0'!$AA$10&lt;&gt;""),'0'!$W$10,"")</f>
        <v/>
      </c>
      <c r="J10" s="148" t="str">
        <f t="shared" si="0"/>
        <v/>
      </c>
      <c r="K10" s="148" t="str">
        <f>IF(A10="","",IF('0'!$AC$10="Forcée","Forcée",IF('0'!$AC$10="Exclue","Exclue","Automatique")))</f>
        <v/>
      </c>
      <c r="L10" s="148" t="str">
        <f>IF(A10="","",IF('0'!$AC$10="Exclue","Exclu",IF('0'!$W$10&gt;=$B$3,"Actif - risque significatif",IF(AND('0'!$W$10&lt;$B$3,'0'!$AD$10="Oui"),"Maîtrisé / clôturable","Maîtrisé - à vérifier"))))</f>
        <v/>
      </c>
      <c r="M10" s="148" t="str">
        <f>IF(A10="","",IF('0'!$W$10&gt;=16,"P1 - Critique",IF('0'!$W$10&gt;=13,"P2 - Haute",IF('0'!$W$10&gt;=9,"P3 - Moyenne","P4 - Basse"))))</f>
        <v/>
      </c>
      <c r="N10" s="148"/>
      <c r="O10" s="148" t="str">
        <f>IF(A10="","",'0'!$X$10)</f>
        <v/>
      </c>
      <c r="P10" s="148"/>
      <c r="Q10" s="148"/>
      <c r="R10" s="148" t="str">
        <f>IF(A10="","",'0'!$Z$10)</f>
        <v/>
      </c>
      <c r="S10" s="148"/>
      <c r="T10" s="148"/>
      <c r="U10" s="149"/>
      <c r="V10" s="150"/>
      <c r="W10" s="150" t="str">
        <f>IF(A10="","",'0'!$Y$10)</f>
        <v/>
      </c>
      <c r="X10" s="148"/>
      <c r="Y10" s="148"/>
      <c r="Z10" s="148"/>
      <c r="AA10" s="148"/>
      <c r="AB10" s="148" t="str">
        <f>IF(A10="","",'0'!$AA$10)</f>
        <v/>
      </c>
      <c r="AC10" s="148" t="str">
        <f>IF(A10="","",'0'!$AD$10)</f>
        <v/>
      </c>
      <c r="AD10" s="150" t="str">
        <f>IF(A10="","",'0'!$AE$10)</f>
        <v/>
      </c>
      <c r="AE10" s="148"/>
      <c r="AF10" s="148"/>
      <c r="AG10" s="148" t="str">
        <f>IF(A10="","",'0'!$AF$10)</f>
        <v/>
      </c>
      <c r="AH10" s="151" t="str">
        <f t="shared" si="1"/>
        <v/>
      </c>
    </row>
    <row r="11" spans="1:34">
      <c r="A11" s="148" t="str">
        <f>IF(OR(IFERROR('0'!$W$11&gt;=$B$3,FALSE),'0'!$AC$11="Forcée",'0'!$X$11&lt;&gt;"",'0'!$AA$11&lt;&gt;""),"0-11","")</f>
        <v/>
      </c>
      <c r="B11" s="148" t="str">
        <f>IF(OR(IFERROR('0'!$W$11&gt;=$B$3,FALSE),'0'!$AC$11="Forcée",'0'!$X$11&lt;&gt;"",'0'!$AA$11&lt;&gt;""),"0","")</f>
        <v/>
      </c>
      <c r="C11" s="148" t="str">
        <f>IF(OR(IFERROR('0'!$W$11&gt;=$B$3,FALSE),'0'!$AC$11="Forcée",'0'!$X$11&lt;&gt;"",'0'!$AA$11&lt;&gt;""),'0'!$A$11,"")</f>
        <v/>
      </c>
      <c r="D11" s="148" t="str">
        <f>IF(OR(IFERROR('0'!$W$11&gt;=$B$3,FALSE),'0'!$AC$11="Forcée",'0'!$X$11&lt;&gt;"",'0'!$AA$11&lt;&gt;""),'0'!$B$11,"")</f>
        <v/>
      </c>
      <c r="E11" s="148" t="str">
        <f>IF(OR(IFERROR('0'!$W$11&gt;=$B$3,FALSE),'0'!$AC$11="Forcée",'0'!$X$11&lt;&gt;"",'0'!$AA$11&lt;&gt;""),'0'!$C$11,"")</f>
        <v/>
      </c>
      <c r="F11" s="148" t="str">
        <f>IF(OR(IFERROR('0'!$W$11&gt;=$B$3,FALSE),'0'!$AC$11="Forcée",'0'!$X$11&lt;&gt;"",'0'!$AA$11&lt;&gt;""),'0'!$D$11,"")</f>
        <v/>
      </c>
      <c r="G11" s="148" t="str">
        <f>IF(OR(IFERROR('0'!$W$11&gt;=$B$3,FALSE),'0'!$AC$11="Forcée",'0'!$X$11&lt;&gt;"",'0'!$AA$11&lt;&gt;""),'0'!$E$11,"")</f>
        <v/>
      </c>
      <c r="H11" s="148" t="str">
        <f>IF(OR(IFERROR('0'!$W$11&gt;=$B$3,FALSE),'0'!$AC$11="Forcée",'0'!$X$11&lt;&gt;"",'0'!$AA$11&lt;&gt;""),'0'!$H$11,"")</f>
        <v/>
      </c>
      <c r="I11" s="148" t="str">
        <f>IF(OR(IFERROR('0'!$W$11&gt;=$B$3,FALSE),'0'!$AC$11="Forcée",'0'!$X$11&lt;&gt;"",'0'!$AA$11&lt;&gt;""),'0'!$W$11,"")</f>
        <v/>
      </c>
      <c r="J11" s="148" t="str">
        <f t="shared" si="0"/>
        <v/>
      </c>
      <c r="K11" s="148" t="str">
        <f>IF(A11="","",IF('0'!$AC$11="Forcée","Forcée",IF('0'!$AC$11="Exclue","Exclue","Automatique")))</f>
        <v/>
      </c>
      <c r="L11" s="148" t="str">
        <f>IF(A11="","",IF('0'!$AC$11="Exclue","Exclu",IF('0'!$W$11&gt;=$B$3,"Actif - risque significatif",IF(AND('0'!$W$11&lt;$B$3,'0'!$AD$11="Oui"),"Maîtrisé / clôturable","Maîtrisé - à vérifier"))))</f>
        <v/>
      </c>
      <c r="M11" s="148" t="str">
        <f>IF(A11="","",IF('0'!$W$11&gt;=16,"P1 - Critique",IF('0'!$W$11&gt;=13,"P2 - Haute",IF('0'!$W$11&gt;=9,"P3 - Moyenne","P4 - Basse"))))</f>
        <v/>
      </c>
      <c r="N11" s="148"/>
      <c r="O11" s="148" t="str">
        <f>IF(A11="","",'0'!$X$11)</f>
        <v/>
      </c>
      <c r="P11" s="148"/>
      <c r="Q11" s="148"/>
      <c r="R11" s="148" t="str">
        <f>IF(A11="","",'0'!$Z$11)</f>
        <v/>
      </c>
      <c r="S11" s="148"/>
      <c r="T11" s="148"/>
      <c r="U11" s="149"/>
      <c r="V11" s="150"/>
      <c r="W11" s="150" t="str">
        <f>IF(A11="","",'0'!$Y$11)</f>
        <v/>
      </c>
      <c r="X11" s="148"/>
      <c r="Y11" s="148"/>
      <c r="Z11" s="148"/>
      <c r="AA11" s="148"/>
      <c r="AB11" s="148" t="str">
        <f>IF(A11="","",'0'!$AA$11)</f>
        <v/>
      </c>
      <c r="AC11" s="148" t="str">
        <f>IF(A11="","",'0'!$AD$11)</f>
        <v/>
      </c>
      <c r="AD11" s="150" t="str">
        <f>IF(A11="","",'0'!$AE$11)</f>
        <v/>
      </c>
      <c r="AE11" s="148"/>
      <c r="AF11" s="148"/>
      <c r="AG11" s="148" t="str">
        <f>IF(A11="","",'0'!$AF$11)</f>
        <v/>
      </c>
      <c r="AH11" s="151" t="str">
        <f t="shared" si="1"/>
        <v/>
      </c>
    </row>
    <row r="12" spans="1:34">
      <c r="A12" s="148" t="str">
        <f>IF(OR(IFERROR('0'!$W$12&gt;=$B$3,FALSE),'0'!$AC$12="Forcée",'0'!$X$12&lt;&gt;"",'0'!$AA$12&lt;&gt;""),"0-12","")</f>
        <v/>
      </c>
      <c r="B12" s="148" t="str">
        <f>IF(OR(IFERROR('0'!$W$12&gt;=$B$3,FALSE),'0'!$AC$12="Forcée",'0'!$X$12&lt;&gt;"",'0'!$AA$12&lt;&gt;""),"0","")</f>
        <v/>
      </c>
      <c r="C12" s="148" t="str">
        <f>IF(OR(IFERROR('0'!$W$12&gt;=$B$3,FALSE),'0'!$AC$12="Forcée",'0'!$X$12&lt;&gt;"",'0'!$AA$12&lt;&gt;""),'0'!$A$12,"")</f>
        <v/>
      </c>
      <c r="D12" s="148" t="str">
        <f>IF(OR(IFERROR('0'!$W$12&gt;=$B$3,FALSE),'0'!$AC$12="Forcée",'0'!$X$12&lt;&gt;"",'0'!$AA$12&lt;&gt;""),'0'!$B$12,"")</f>
        <v/>
      </c>
      <c r="E12" s="148" t="str">
        <f>IF(OR(IFERROR('0'!$W$12&gt;=$B$3,FALSE),'0'!$AC$12="Forcée",'0'!$X$12&lt;&gt;"",'0'!$AA$12&lt;&gt;""),'0'!$C$12,"")</f>
        <v/>
      </c>
      <c r="F12" s="148" t="str">
        <f>IF(OR(IFERROR('0'!$W$12&gt;=$B$3,FALSE),'0'!$AC$12="Forcée",'0'!$X$12&lt;&gt;"",'0'!$AA$12&lt;&gt;""),'0'!$D$12,"")</f>
        <v/>
      </c>
      <c r="G12" s="148" t="str">
        <f>IF(OR(IFERROR('0'!$W$12&gt;=$B$3,FALSE),'0'!$AC$12="Forcée",'0'!$X$12&lt;&gt;"",'0'!$AA$12&lt;&gt;""),'0'!$E$12,"")</f>
        <v/>
      </c>
      <c r="H12" s="148" t="str">
        <f>IF(OR(IFERROR('0'!$W$12&gt;=$B$3,FALSE),'0'!$AC$12="Forcée",'0'!$X$12&lt;&gt;"",'0'!$AA$12&lt;&gt;""),'0'!$H$12,"")</f>
        <v/>
      </c>
      <c r="I12" s="148" t="str">
        <f>IF(OR(IFERROR('0'!$W$12&gt;=$B$3,FALSE),'0'!$AC$12="Forcée",'0'!$X$12&lt;&gt;"",'0'!$AA$12&lt;&gt;""),'0'!$W$12,"")</f>
        <v/>
      </c>
      <c r="J12" s="148" t="str">
        <f t="shared" si="0"/>
        <v/>
      </c>
      <c r="K12" s="148" t="str">
        <f>IF(A12="","",IF('0'!$AC$12="Forcée","Forcée",IF('0'!$AC$12="Exclue","Exclue","Automatique")))</f>
        <v/>
      </c>
      <c r="L12" s="148" t="str">
        <f>IF(A12="","",IF('0'!$AC$12="Exclue","Exclu",IF('0'!$W$12&gt;=$B$3,"Actif - risque significatif",IF(AND('0'!$W$12&lt;$B$3,'0'!$AD$12="Oui"),"Maîtrisé / clôturable","Maîtrisé - à vérifier"))))</f>
        <v/>
      </c>
      <c r="M12" s="148" t="str">
        <f>IF(A12="","",IF('0'!$W$12&gt;=16,"P1 - Critique",IF('0'!$W$12&gt;=13,"P2 - Haute",IF('0'!$W$12&gt;=9,"P3 - Moyenne","P4 - Basse"))))</f>
        <v/>
      </c>
      <c r="N12" s="148"/>
      <c r="O12" s="148" t="str">
        <f>IF(A12="","",'0'!$X$12)</f>
        <v/>
      </c>
      <c r="P12" s="148"/>
      <c r="Q12" s="148"/>
      <c r="R12" s="148" t="str">
        <f>IF(A12="","",'0'!$Z$12)</f>
        <v/>
      </c>
      <c r="S12" s="148"/>
      <c r="T12" s="148"/>
      <c r="U12" s="149"/>
      <c r="V12" s="150"/>
      <c r="W12" s="150" t="str">
        <f>IF(A12="","",'0'!$Y$12)</f>
        <v/>
      </c>
      <c r="X12" s="148"/>
      <c r="Y12" s="148"/>
      <c r="Z12" s="148"/>
      <c r="AA12" s="148"/>
      <c r="AB12" s="148" t="str">
        <f>IF(A12="","",'0'!$AA$12)</f>
        <v/>
      </c>
      <c r="AC12" s="148" t="str">
        <f>IF(A12="","",'0'!$AD$12)</f>
        <v/>
      </c>
      <c r="AD12" s="150" t="str">
        <f>IF(A12="","",'0'!$AE$12)</f>
        <v/>
      </c>
      <c r="AE12" s="148"/>
      <c r="AF12" s="148"/>
      <c r="AG12" s="148" t="str">
        <f>IF(A12="","",'0'!$AF$12)</f>
        <v/>
      </c>
      <c r="AH12" s="151" t="str">
        <f t="shared" si="1"/>
        <v/>
      </c>
    </row>
    <row r="13" spans="1:34">
      <c r="A13" s="148" t="str">
        <f>IF(OR(IFERROR('0'!$W$13&gt;=$B$3,FALSE),'0'!$AC$13="Forcée",'0'!$X$13&lt;&gt;"",'0'!$AA$13&lt;&gt;""),"0-13","")</f>
        <v/>
      </c>
      <c r="B13" s="148" t="str">
        <f>IF(OR(IFERROR('0'!$W$13&gt;=$B$3,FALSE),'0'!$AC$13="Forcée",'0'!$X$13&lt;&gt;"",'0'!$AA$13&lt;&gt;""),"0","")</f>
        <v/>
      </c>
      <c r="C13" s="148" t="str">
        <f>IF(OR(IFERROR('0'!$W$13&gt;=$B$3,FALSE),'0'!$AC$13="Forcée",'0'!$X$13&lt;&gt;"",'0'!$AA$13&lt;&gt;""),'0'!$A$13,"")</f>
        <v/>
      </c>
      <c r="D13" s="148" t="str">
        <f>IF(OR(IFERROR('0'!$W$13&gt;=$B$3,FALSE),'0'!$AC$13="Forcée",'0'!$X$13&lt;&gt;"",'0'!$AA$13&lt;&gt;""),'0'!$B$13,"")</f>
        <v/>
      </c>
      <c r="E13" s="148" t="str">
        <f>IF(OR(IFERROR('0'!$W$13&gt;=$B$3,FALSE),'0'!$AC$13="Forcée",'0'!$X$13&lt;&gt;"",'0'!$AA$13&lt;&gt;""),'0'!$C$13,"")</f>
        <v/>
      </c>
      <c r="F13" s="148" t="str">
        <f>IF(OR(IFERROR('0'!$W$13&gt;=$B$3,FALSE),'0'!$AC$13="Forcée",'0'!$X$13&lt;&gt;"",'0'!$AA$13&lt;&gt;""),'0'!$D$13,"")</f>
        <v/>
      </c>
      <c r="G13" s="148" t="str">
        <f>IF(OR(IFERROR('0'!$W$13&gt;=$B$3,FALSE),'0'!$AC$13="Forcée",'0'!$X$13&lt;&gt;"",'0'!$AA$13&lt;&gt;""),'0'!$E$13,"")</f>
        <v/>
      </c>
      <c r="H13" s="148" t="str">
        <f>IF(OR(IFERROR('0'!$W$13&gt;=$B$3,FALSE),'0'!$AC$13="Forcée",'0'!$X$13&lt;&gt;"",'0'!$AA$13&lt;&gt;""),'0'!$H$13,"")</f>
        <v/>
      </c>
      <c r="I13" s="148" t="str">
        <f>IF(OR(IFERROR('0'!$W$13&gt;=$B$3,FALSE),'0'!$AC$13="Forcée",'0'!$X$13&lt;&gt;"",'0'!$AA$13&lt;&gt;""),'0'!$W$13,"")</f>
        <v/>
      </c>
      <c r="J13" s="148" t="str">
        <f t="shared" si="0"/>
        <v/>
      </c>
      <c r="K13" s="148" t="str">
        <f>IF(A13="","",IF('0'!$AC$13="Forcée","Forcée",IF('0'!$AC$13="Exclue","Exclue","Automatique")))</f>
        <v/>
      </c>
      <c r="L13" s="148" t="str">
        <f>IF(A13="","",IF('0'!$AC$13="Exclue","Exclu",IF('0'!$W$13&gt;=$B$3,"Actif - risque significatif",IF(AND('0'!$W$13&lt;$B$3,'0'!$AD$13="Oui"),"Maîtrisé / clôturable","Maîtrisé - à vérifier"))))</f>
        <v/>
      </c>
      <c r="M13" s="148" t="str">
        <f>IF(A13="","",IF('0'!$W$13&gt;=16,"P1 - Critique",IF('0'!$W$13&gt;=13,"P2 - Haute",IF('0'!$W$13&gt;=9,"P3 - Moyenne","P4 - Basse"))))</f>
        <v/>
      </c>
      <c r="N13" s="148"/>
      <c r="O13" s="148" t="str">
        <f>IF(A13="","",'0'!$X$13)</f>
        <v/>
      </c>
      <c r="P13" s="148"/>
      <c r="Q13" s="148"/>
      <c r="R13" s="148" t="str">
        <f>IF(A13="","",'0'!$Z$13)</f>
        <v/>
      </c>
      <c r="S13" s="148"/>
      <c r="T13" s="148"/>
      <c r="U13" s="149"/>
      <c r="V13" s="150"/>
      <c r="W13" s="150" t="str">
        <f>IF(A13="","",'0'!$Y$13)</f>
        <v/>
      </c>
      <c r="X13" s="148"/>
      <c r="Y13" s="148"/>
      <c r="Z13" s="148"/>
      <c r="AA13" s="148"/>
      <c r="AB13" s="148" t="str">
        <f>IF(A13="","",'0'!$AA$13)</f>
        <v/>
      </c>
      <c r="AC13" s="148" t="str">
        <f>IF(A13="","",'0'!$AD$13)</f>
        <v/>
      </c>
      <c r="AD13" s="150" t="str">
        <f>IF(A13="","",'0'!$AE$13)</f>
        <v/>
      </c>
      <c r="AE13" s="148"/>
      <c r="AF13" s="148"/>
      <c r="AG13" s="148" t="str">
        <f>IF(A13="","",'0'!$AF$13)</f>
        <v/>
      </c>
      <c r="AH13" s="151" t="str">
        <f t="shared" si="1"/>
        <v/>
      </c>
    </row>
    <row r="14" spans="1:34">
      <c r="A14" s="148" t="str">
        <f>IF(OR(IFERROR('0'!$W$14&gt;=$B$3,FALSE),'0'!$AC$14="Forcée",'0'!$X$14&lt;&gt;"",'0'!$AA$14&lt;&gt;""),"0-14","")</f>
        <v/>
      </c>
      <c r="B14" s="148" t="str">
        <f>IF(OR(IFERROR('0'!$W$14&gt;=$B$3,FALSE),'0'!$AC$14="Forcée",'0'!$X$14&lt;&gt;"",'0'!$AA$14&lt;&gt;""),"0","")</f>
        <v/>
      </c>
      <c r="C14" s="148" t="str">
        <f>IF(OR(IFERROR('0'!$W$14&gt;=$B$3,FALSE),'0'!$AC$14="Forcée",'0'!$X$14&lt;&gt;"",'0'!$AA$14&lt;&gt;""),'0'!$A$14,"")</f>
        <v/>
      </c>
      <c r="D14" s="148" t="str">
        <f>IF(OR(IFERROR('0'!$W$14&gt;=$B$3,FALSE),'0'!$AC$14="Forcée",'0'!$X$14&lt;&gt;"",'0'!$AA$14&lt;&gt;""),'0'!$B$14,"")</f>
        <v/>
      </c>
      <c r="E14" s="148" t="str">
        <f>IF(OR(IFERROR('0'!$W$14&gt;=$B$3,FALSE),'0'!$AC$14="Forcée",'0'!$X$14&lt;&gt;"",'0'!$AA$14&lt;&gt;""),'0'!$C$14,"")</f>
        <v/>
      </c>
      <c r="F14" s="148" t="str">
        <f>IF(OR(IFERROR('0'!$W$14&gt;=$B$3,FALSE),'0'!$AC$14="Forcée",'0'!$X$14&lt;&gt;"",'0'!$AA$14&lt;&gt;""),'0'!$D$14,"")</f>
        <v/>
      </c>
      <c r="G14" s="148" t="str">
        <f>IF(OR(IFERROR('0'!$W$14&gt;=$B$3,FALSE),'0'!$AC$14="Forcée",'0'!$X$14&lt;&gt;"",'0'!$AA$14&lt;&gt;""),'0'!$E$14,"")</f>
        <v/>
      </c>
      <c r="H14" s="148" t="str">
        <f>IF(OR(IFERROR('0'!$W$14&gt;=$B$3,FALSE),'0'!$AC$14="Forcée",'0'!$X$14&lt;&gt;"",'0'!$AA$14&lt;&gt;""),'0'!$H$14,"")</f>
        <v/>
      </c>
      <c r="I14" s="148" t="str">
        <f>IF(OR(IFERROR('0'!$W$14&gt;=$B$3,FALSE),'0'!$AC$14="Forcée",'0'!$X$14&lt;&gt;"",'0'!$AA$14&lt;&gt;""),'0'!$W$14,"")</f>
        <v/>
      </c>
      <c r="J14" s="148" t="str">
        <f t="shared" si="0"/>
        <v/>
      </c>
      <c r="K14" s="148" t="str">
        <f>IF(A14="","",IF('0'!$AC$14="Forcée","Forcée",IF('0'!$AC$14="Exclue","Exclue","Automatique")))</f>
        <v/>
      </c>
      <c r="L14" s="148" t="str">
        <f>IF(A14="","",IF('0'!$AC$14="Exclue","Exclu",IF('0'!$W$14&gt;=$B$3,"Actif - risque significatif",IF(AND('0'!$W$14&lt;$B$3,'0'!$AD$14="Oui"),"Maîtrisé / clôturable","Maîtrisé - à vérifier"))))</f>
        <v/>
      </c>
      <c r="M14" s="148" t="str">
        <f>IF(A14="","",IF('0'!$W$14&gt;=16,"P1 - Critique",IF('0'!$W$14&gt;=13,"P2 - Haute",IF('0'!$W$14&gt;=9,"P3 - Moyenne","P4 - Basse"))))</f>
        <v/>
      </c>
      <c r="N14" s="148"/>
      <c r="O14" s="148" t="str">
        <f>IF(A14="","",'0'!$X$14)</f>
        <v/>
      </c>
      <c r="P14" s="148"/>
      <c r="Q14" s="148"/>
      <c r="R14" s="148" t="str">
        <f>IF(A14="","",'0'!$Z$14)</f>
        <v/>
      </c>
      <c r="S14" s="148"/>
      <c r="T14" s="148"/>
      <c r="U14" s="149"/>
      <c r="V14" s="150"/>
      <c r="W14" s="150" t="str">
        <f>IF(A14="","",'0'!$Y$14)</f>
        <v/>
      </c>
      <c r="X14" s="148"/>
      <c r="Y14" s="148"/>
      <c r="Z14" s="148"/>
      <c r="AA14" s="148"/>
      <c r="AB14" s="148" t="str">
        <f>IF(A14="","",'0'!$AA$14)</f>
        <v/>
      </c>
      <c r="AC14" s="148" t="str">
        <f>IF(A14="","",'0'!$AD$14)</f>
        <v/>
      </c>
      <c r="AD14" s="150" t="str">
        <f>IF(A14="","",'0'!$AE$14)</f>
        <v/>
      </c>
      <c r="AE14" s="148"/>
      <c r="AF14" s="148"/>
      <c r="AG14" s="148" t="str">
        <f>IF(A14="","",'0'!$AF$14)</f>
        <v/>
      </c>
      <c r="AH14" s="151" t="str">
        <f t="shared" si="1"/>
        <v/>
      </c>
    </row>
    <row r="15" spans="1:34">
      <c r="A15" s="148" t="str">
        <f>IF(OR(IFERROR('0'!$W$15&gt;=$B$3,FALSE),'0'!$AC$15="Forcée",'0'!$X$15&lt;&gt;"",'0'!$AA$15&lt;&gt;""),"0-15","")</f>
        <v/>
      </c>
      <c r="B15" s="148" t="str">
        <f>IF(OR(IFERROR('0'!$W$15&gt;=$B$3,FALSE),'0'!$AC$15="Forcée",'0'!$X$15&lt;&gt;"",'0'!$AA$15&lt;&gt;""),"0","")</f>
        <v/>
      </c>
      <c r="C15" s="148" t="str">
        <f>IF(OR(IFERROR('0'!$W$15&gt;=$B$3,FALSE),'0'!$AC$15="Forcée",'0'!$X$15&lt;&gt;"",'0'!$AA$15&lt;&gt;""),'0'!$A$15,"")</f>
        <v/>
      </c>
      <c r="D15" s="148" t="str">
        <f>IF(OR(IFERROR('0'!$W$15&gt;=$B$3,FALSE),'0'!$AC$15="Forcée",'0'!$X$15&lt;&gt;"",'0'!$AA$15&lt;&gt;""),'0'!$B$15,"")</f>
        <v/>
      </c>
      <c r="E15" s="148" t="str">
        <f>IF(OR(IFERROR('0'!$W$15&gt;=$B$3,FALSE),'0'!$AC$15="Forcée",'0'!$X$15&lt;&gt;"",'0'!$AA$15&lt;&gt;""),'0'!$C$15,"")</f>
        <v/>
      </c>
      <c r="F15" s="148" t="str">
        <f>IF(OR(IFERROR('0'!$W$15&gt;=$B$3,FALSE),'0'!$AC$15="Forcée",'0'!$X$15&lt;&gt;"",'0'!$AA$15&lt;&gt;""),'0'!$D$15,"")</f>
        <v/>
      </c>
      <c r="G15" s="148" t="str">
        <f>IF(OR(IFERROR('0'!$W$15&gt;=$B$3,FALSE),'0'!$AC$15="Forcée",'0'!$X$15&lt;&gt;"",'0'!$AA$15&lt;&gt;""),'0'!$E$15,"")</f>
        <v/>
      </c>
      <c r="H15" s="148" t="str">
        <f>IF(OR(IFERROR('0'!$W$15&gt;=$B$3,FALSE),'0'!$AC$15="Forcée",'0'!$X$15&lt;&gt;"",'0'!$AA$15&lt;&gt;""),'0'!$H$15,"")</f>
        <v/>
      </c>
      <c r="I15" s="148" t="str">
        <f>IF(OR(IFERROR('0'!$W$15&gt;=$B$3,FALSE),'0'!$AC$15="Forcée",'0'!$X$15&lt;&gt;"",'0'!$AA$15&lt;&gt;""),'0'!$W$15,"")</f>
        <v/>
      </c>
      <c r="J15" s="148" t="str">
        <f t="shared" si="0"/>
        <v/>
      </c>
      <c r="K15" s="148" t="str">
        <f>IF(A15="","",IF('0'!$AC$15="Forcée","Forcée",IF('0'!$AC$15="Exclue","Exclue","Automatique")))</f>
        <v/>
      </c>
      <c r="L15" s="148" t="str">
        <f>IF(A15="","",IF('0'!$AC$15="Exclue","Exclu",IF('0'!$W$15&gt;=$B$3,"Actif - risque significatif",IF(AND('0'!$W$15&lt;$B$3,'0'!$AD$15="Oui"),"Maîtrisé / clôturable","Maîtrisé - à vérifier"))))</f>
        <v/>
      </c>
      <c r="M15" s="148" t="str">
        <f>IF(A15="","",IF('0'!$W$15&gt;=16,"P1 - Critique",IF('0'!$W$15&gt;=13,"P2 - Haute",IF('0'!$W$15&gt;=9,"P3 - Moyenne","P4 - Basse"))))</f>
        <v/>
      </c>
      <c r="N15" s="148"/>
      <c r="O15" s="148" t="str">
        <f>IF(A15="","",'0'!$X$15)</f>
        <v/>
      </c>
      <c r="P15" s="148"/>
      <c r="Q15" s="148"/>
      <c r="R15" s="148" t="str">
        <f>IF(A15="","",'0'!$Z$15)</f>
        <v/>
      </c>
      <c r="S15" s="148"/>
      <c r="T15" s="148"/>
      <c r="U15" s="149"/>
      <c r="V15" s="150"/>
      <c r="W15" s="150" t="str">
        <f>IF(A15="","",'0'!$Y$15)</f>
        <v/>
      </c>
      <c r="X15" s="148"/>
      <c r="Y15" s="148"/>
      <c r="Z15" s="148"/>
      <c r="AA15" s="148"/>
      <c r="AB15" s="148" t="str">
        <f>IF(A15="","",'0'!$AA$15)</f>
        <v/>
      </c>
      <c r="AC15" s="148" t="str">
        <f>IF(A15="","",'0'!$AD$15)</f>
        <v/>
      </c>
      <c r="AD15" s="150" t="str">
        <f>IF(A15="","",'0'!$AE$15)</f>
        <v/>
      </c>
      <c r="AE15" s="148"/>
      <c r="AF15" s="148"/>
      <c r="AG15" s="148" t="str">
        <f>IF(A15="","",'0'!$AF$15)</f>
        <v/>
      </c>
      <c r="AH15" s="151" t="str">
        <f t="shared" si="1"/>
        <v/>
      </c>
    </row>
    <row r="16" spans="1:34">
      <c r="A16" s="148" t="str">
        <f>IF(OR(IFERROR('0'!$W$16&gt;=$B$3,FALSE),'0'!$AC$16="Forcée",'0'!$X$16&lt;&gt;"",'0'!$AA$16&lt;&gt;""),"0-16","")</f>
        <v/>
      </c>
      <c r="B16" s="148" t="str">
        <f>IF(OR(IFERROR('0'!$W$16&gt;=$B$3,FALSE),'0'!$AC$16="Forcée",'0'!$X$16&lt;&gt;"",'0'!$AA$16&lt;&gt;""),"0","")</f>
        <v/>
      </c>
      <c r="C16" s="148" t="str">
        <f>IF(OR(IFERROR('0'!$W$16&gt;=$B$3,FALSE),'0'!$AC$16="Forcée",'0'!$X$16&lt;&gt;"",'0'!$AA$16&lt;&gt;""),'0'!$A$16,"")</f>
        <v/>
      </c>
      <c r="D16" s="148" t="str">
        <f>IF(OR(IFERROR('0'!$W$16&gt;=$B$3,FALSE),'0'!$AC$16="Forcée",'0'!$X$16&lt;&gt;"",'0'!$AA$16&lt;&gt;""),'0'!$B$16,"")</f>
        <v/>
      </c>
      <c r="E16" s="148" t="str">
        <f>IF(OR(IFERROR('0'!$W$16&gt;=$B$3,FALSE),'0'!$AC$16="Forcée",'0'!$X$16&lt;&gt;"",'0'!$AA$16&lt;&gt;""),'0'!$C$16,"")</f>
        <v/>
      </c>
      <c r="F16" s="148" t="str">
        <f>IF(OR(IFERROR('0'!$W$16&gt;=$B$3,FALSE),'0'!$AC$16="Forcée",'0'!$X$16&lt;&gt;"",'0'!$AA$16&lt;&gt;""),'0'!$D$16,"")</f>
        <v/>
      </c>
      <c r="G16" s="148" t="str">
        <f>IF(OR(IFERROR('0'!$W$16&gt;=$B$3,FALSE),'0'!$AC$16="Forcée",'0'!$X$16&lt;&gt;"",'0'!$AA$16&lt;&gt;""),'0'!$E$16,"")</f>
        <v/>
      </c>
      <c r="H16" s="148" t="str">
        <f>IF(OR(IFERROR('0'!$W$16&gt;=$B$3,FALSE),'0'!$AC$16="Forcée",'0'!$X$16&lt;&gt;"",'0'!$AA$16&lt;&gt;""),'0'!$H$16,"")</f>
        <v/>
      </c>
      <c r="I16" s="148" t="str">
        <f>IF(OR(IFERROR('0'!$W$16&gt;=$B$3,FALSE),'0'!$AC$16="Forcée",'0'!$X$16&lt;&gt;"",'0'!$AA$16&lt;&gt;""),'0'!$W$16,"")</f>
        <v/>
      </c>
      <c r="J16" s="148" t="str">
        <f t="shared" si="0"/>
        <v/>
      </c>
      <c r="K16" s="148" t="str">
        <f>IF(A16="","",IF('0'!$AC$16="Forcée","Forcée",IF('0'!$AC$16="Exclue","Exclue","Automatique")))</f>
        <v/>
      </c>
      <c r="L16" s="148" t="str">
        <f>IF(A16="","",IF('0'!$AC$16="Exclue","Exclu",IF('0'!$W$16&gt;=$B$3,"Actif - risque significatif",IF(AND('0'!$W$16&lt;$B$3,'0'!$AD$16="Oui"),"Maîtrisé / clôturable","Maîtrisé - à vérifier"))))</f>
        <v/>
      </c>
      <c r="M16" s="148" t="str">
        <f>IF(A16="","",IF('0'!$W$16&gt;=16,"P1 - Critique",IF('0'!$W$16&gt;=13,"P2 - Haute",IF('0'!$W$16&gt;=9,"P3 - Moyenne","P4 - Basse"))))</f>
        <v/>
      </c>
      <c r="N16" s="148"/>
      <c r="O16" s="148" t="str">
        <f>IF(A16="","",'0'!$X$16)</f>
        <v/>
      </c>
      <c r="P16" s="148"/>
      <c r="Q16" s="148"/>
      <c r="R16" s="148" t="str">
        <f>IF(A16="","",'0'!$Z$16)</f>
        <v/>
      </c>
      <c r="S16" s="148"/>
      <c r="T16" s="148"/>
      <c r="U16" s="149"/>
      <c r="V16" s="150"/>
      <c r="W16" s="150" t="str">
        <f>IF(A16="","",'0'!$Y$16)</f>
        <v/>
      </c>
      <c r="X16" s="148"/>
      <c r="Y16" s="148"/>
      <c r="Z16" s="148"/>
      <c r="AA16" s="148"/>
      <c r="AB16" s="148" t="str">
        <f>IF(A16="","",'0'!$AA$16)</f>
        <v/>
      </c>
      <c r="AC16" s="148" t="str">
        <f>IF(A16="","",'0'!$AD$16)</f>
        <v/>
      </c>
      <c r="AD16" s="150" t="str">
        <f>IF(A16="","",'0'!$AE$16)</f>
        <v/>
      </c>
      <c r="AE16" s="148"/>
      <c r="AF16" s="148"/>
      <c r="AG16" s="148" t="str">
        <f>IF(A16="","",'0'!$AF$16)</f>
        <v/>
      </c>
      <c r="AH16" s="151" t="str">
        <f t="shared" si="1"/>
        <v/>
      </c>
    </row>
    <row r="17" spans="1:34">
      <c r="A17" s="148" t="str">
        <f>IF(OR(IFERROR('0'!$W$17&gt;=$B$3,FALSE),'0'!$AC$17="Forcée",'0'!$X$17&lt;&gt;"",'0'!$AA$17&lt;&gt;""),"0-17","")</f>
        <v/>
      </c>
      <c r="B17" s="148" t="str">
        <f>IF(OR(IFERROR('0'!$W$17&gt;=$B$3,FALSE),'0'!$AC$17="Forcée",'0'!$X$17&lt;&gt;"",'0'!$AA$17&lt;&gt;""),"0","")</f>
        <v/>
      </c>
      <c r="C17" s="148" t="str">
        <f>IF(OR(IFERROR('0'!$W$17&gt;=$B$3,FALSE),'0'!$AC$17="Forcée",'0'!$X$17&lt;&gt;"",'0'!$AA$17&lt;&gt;""),'0'!$A$17,"")</f>
        <v/>
      </c>
      <c r="D17" s="148" t="str">
        <f>IF(OR(IFERROR('0'!$W$17&gt;=$B$3,FALSE),'0'!$AC$17="Forcée",'0'!$X$17&lt;&gt;"",'0'!$AA$17&lt;&gt;""),'0'!$B$17,"")</f>
        <v/>
      </c>
      <c r="E17" s="148" t="str">
        <f>IF(OR(IFERROR('0'!$W$17&gt;=$B$3,FALSE),'0'!$AC$17="Forcée",'0'!$X$17&lt;&gt;"",'0'!$AA$17&lt;&gt;""),'0'!$C$17,"")</f>
        <v/>
      </c>
      <c r="F17" s="148" t="str">
        <f>IF(OR(IFERROR('0'!$W$17&gt;=$B$3,FALSE),'0'!$AC$17="Forcée",'0'!$X$17&lt;&gt;"",'0'!$AA$17&lt;&gt;""),'0'!$D$17,"")</f>
        <v/>
      </c>
      <c r="G17" s="148" t="str">
        <f>IF(OR(IFERROR('0'!$W$17&gt;=$B$3,FALSE),'0'!$AC$17="Forcée",'0'!$X$17&lt;&gt;"",'0'!$AA$17&lt;&gt;""),'0'!$E$17,"")</f>
        <v/>
      </c>
      <c r="H17" s="148" t="str">
        <f>IF(OR(IFERROR('0'!$W$17&gt;=$B$3,FALSE),'0'!$AC$17="Forcée",'0'!$X$17&lt;&gt;"",'0'!$AA$17&lt;&gt;""),'0'!$H$17,"")</f>
        <v/>
      </c>
      <c r="I17" s="148" t="str">
        <f>IF(OR(IFERROR('0'!$W$17&gt;=$B$3,FALSE),'0'!$AC$17="Forcée",'0'!$X$17&lt;&gt;"",'0'!$AA$17&lt;&gt;""),'0'!$W$17,"")</f>
        <v/>
      </c>
      <c r="J17" s="148" t="str">
        <f t="shared" si="0"/>
        <v/>
      </c>
      <c r="K17" s="148" t="str">
        <f>IF(A17="","",IF('0'!$AC$17="Forcée","Forcée",IF('0'!$AC$17="Exclue","Exclue","Automatique")))</f>
        <v/>
      </c>
      <c r="L17" s="148" t="str">
        <f>IF(A17="","",IF('0'!$AC$17="Exclue","Exclu",IF('0'!$W$17&gt;=$B$3,"Actif - risque significatif",IF(AND('0'!$W$17&lt;$B$3,'0'!$AD$17="Oui"),"Maîtrisé / clôturable","Maîtrisé - à vérifier"))))</f>
        <v/>
      </c>
      <c r="M17" s="148" t="str">
        <f>IF(A17="","",IF('0'!$W$17&gt;=16,"P1 - Critique",IF('0'!$W$17&gt;=13,"P2 - Haute",IF('0'!$W$17&gt;=9,"P3 - Moyenne","P4 - Basse"))))</f>
        <v/>
      </c>
      <c r="N17" s="148"/>
      <c r="O17" s="148" t="str">
        <f>IF(A17="","",'0'!$X$17)</f>
        <v/>
      </c>
      <c r="P17" s="148"/>
      <c r="Q17" s="148"/>
      <c r="R17" s="148" t="str">
        <f>IF(A17="","",'0'!$Z$17)</f>
        <v/>
      </c>
      <c r="S17" s="148"/>
      <c r="T17" s="148"/>
      <c r="U17" s="149"/>
      <c r="V17" s="150"/>
      <c r="W17" s="150" t="str">
        <f>IF(A17="","",'0'!$Y$17)</f>
        <v/>
      </c>
      <c r="X17" s="148"/>
      <c r="Y17" s="148"/>
      <c r="Z17" s="148"/>
      <c r="AA17" s="148"/>
      <c r="AB17" s="148" t="str">
        <f>IF(A17="","",'0'!$AA$17)</f>
        <v/>
      </c>
      <c r="AC17" s="148" t="str">
        <f>IF(A17="","",'0'!$AD$17)</f>
        <v/>
      </c>
      <c r="AD17" s="150" t="str">
        <f>IF(A17="","",'0'!$AE$17)</f>
        <v/>
      </c>
      <c r="AE17" s="148"/>
      <c r="AF17" s="148"/>
      <c r="AG17" s="148" t="str">
        <f>IF(A17="","",'0'!$AF$17)</f>
        <v/>
      </c>
      <c r="AH17" s="151" t="str">
        <f t="shared" si="1"/>
        <v/>
      </c>
    </row>
    <row r="18" spans="1:34">
      <c r="A18" s="148" t="str">
        <f>IF(OR(IFERROR('0'!$W$18&gt;=$B$3,FALSE),'0'!$AC$18="Forcée",'0'!$X$18&lt;&gt;"",'0'!$AA$18&lt;&gt;""),"0-18","")</f>
        <v/>
      </c>
      <c r="B18" s="148" t="str">
        <f>IF(OR(IFERROR('0'!$W$18&gt;=$B$3,FALSE),'0'!$AC$18="Forcée",'0'!$X$18&lt;&gt;"",'0'!$AA$18&lt;&gt;""),"0","")</f>
        <v/>
      </c>
      <c r="C18" s="148" t="str">
        <f>IF(OR(IFERROR('0'!$W$18&gt;=$B$3,FALSE),'0'!$AC$18="Forcée",'0'!$X$18&lt;&gt;"",'0'!$AA$18&lt;&gt;""),'0'!$A$18,"")</f>
        <v/>
      </c>
      <c r="D18" s="148" t="str">
        <f>IF(OR(IFERROR('0'!$W$18&gt;=$B$3,FALSE),'0'!$AC$18="Forcée",'0'!$X$18&lt;&gt;"",'0'!$AA$18&lt;&gt;""),'0'!$B$18,"")</f>
        <v/>
      </c>
      <c r="E18" s="148" t="str">
        <f>IF(OR(IFERROR('0'!$W$18&gt;=$B$3,FALSE),'0'!$AC$18="Forcée",'0'!$X$18&lt;&gt;"",'0'!$AA$18&lt;&gt;""),'0'!$C$18,"")</f>
        <v/>
      </c>
      <c r="F18" s="148" t="str">
        <f>IF(OR(IFERROR('0'!$W$18&gt;=$B$3,FALSE),'0'!$AC$18="Forcée",'0'!$X$18&lt;&gt;"",'0'!$AA$18&lt;&gt;""),'0'!$D$18,"")</f>
        <v/>
      </c>
      <c r="G18" s="148" t="str">
        <f>IF(OR(IFERROR('0'!$W$18&gt;=$B$3,FALSE),'0'!$AC$18="Forcée",'0'!$X$18&lt;&gt;"",'0'!$AA$18&lt;&gt;""),'0'!$E$18,"")</f>
        <v/>
      </c>
      <c r="H18" s="148" t="str">
        <f>IF(OR(IFERROR('0'!$W$18&gt;=$B$3,FALSE),'0'!$AC$18="Forcée",'0'!$X$18&lt;&gt;"",'0'!$AA$18&lt;&gt;""),'0'!$H$18,"")</f>
        <v/>
      </c>
      <c r="I18" s="148" t="str">
        <f>IF(OR(IFERROR('0'!$W$18&gt;=$B$3,FALSE),'0'!$AC$18="Forcée",'0'!$X$18&lt;&gt;"",'0'!$AA$18&lt;&gt;""),'0'!$W$18,"")</f>
        <v/>
      </c>
      <c r="J18" s="148" t="str">
        <f t="shared" si="0"/>
        <v/>
      </c>
      <c r="K18" s="148" t="str">
        <f>IF(A18="","",IF('0'!$AC$18="Forcée","Forcée",IF('0'!$AC$18="Exclue","Exclue","Automatique")))</f>
        <v/>
      </c>
      <c r="L18" s="148" t="str">
        <f>IF(A18="","",IF('0'!$AC$18="Exclue","Exclu",IF('0'!$W$18&gt;=$B$3,"Actif - risque significatif",IF(AND('0'!$W$18&lt;$B$3,'0'!$AD$18="Oui"),"Maîtrisé / clôturable","Maîtrisé - à vérifier"))))</f>
        <v/>
      </c>
      <c r="M18" s="148" t="str">
        <f>IF(A18="","",IF('0'!$W$18&gt;=16,"P1 - Critique",IF('0'!$W$18&gt;=13,"P2 - Haute",IF('0'!$W$18&gt;=9,"P3 - Moyenne","P4 - Basse"))))</f>
        <v/>
      </c>
      <c r="N18" s="148"/>
      <c r="O18" s="148" t="str">
        <f>IF(A18="","",'0'!$X$18)</f>
        <v/>
      </c>
      <c r="P18" s="148"/>
      <c r="Q18" s="148"/>
      <c r="R18" s="148" t="str">
        <f>IF(A18="","",'0'!$Z$18)</f>
        <v/>
      </c>
      <c r="S18" s="148"/>
      <c r="T18" s="148"/>
      <c r="U18" s="149"/>
      <c r="V18" s="150"/>
      <c r="W18" s="150" t="str">
        <f>IF(A18="","",'0'!$Y$18)</f>
        <v/>
      </c>
      <c r="X18" s="148"/>
      <c r="Y18" s="148"/>
      <c r="Z18" s="148"/>
      <c r="AA18" s="148"/>
      <c r="AB18" s="148" t="str">
        <f>IF(A18="","",'0'!$AA$18)</f>
        <v/>
      </c>
      <c r="AC18" s="148" t="str">
        <f>IF(A18="","",'0'!$AD$18)</f>
        <v/>
      </c>
      <c r="AD18" s="150" t="str">
        <f>IF(A18="","",'0'!$AE$18)</f>
        <v/>
      </c>
      <c r="AE18" s="148"/>
      <c r="AF18" s="148"/>
      <c r="AG18" s="148" t="str">
        <f>IF(A18="","",'0'!$AF$18)</f>
        <v/>
      </c>
      <c r="AH18" s="151" t="str">
        <f t="shared" si="1"/>
        <v/>
      </c>
    </row>
    <row r="19" spans="1:34">
      <c r="A19" s="148" t="str">
        <f>IF(OR(IFERROR('0'!$W$19&gt;=$B$3,FALSE),'0'!$AC$19="Forcée",'0'!$X$19&lt;&gt;"",'0'!$AA$19&lt;&gt;""),"0-19","")</f>
        <v/>
      </c>
      <c r="B19" s="148" t="str">
        <f>IF(OR(IFERROR('0'!$W$19&gt;=$B$3,FALSE),'0'!$AC$19="Forcée",'0'!$X$19&lt;&gt;"",'0'!$AA$19&lt;&gt;""),"0","")</f>
        <v/>
      </c>
      <c r="C19" s="148" t="str">
        <f>IF(OR(IFERROR('0'!$W$19&gt;=$B$3,FALSE),'0'!$AC$19="Forcée",'0'!$X$19&lt;&gt;"",'0'!$AA$19&lt;&gt;""),'0'!$A$19,"")</f>
        <v/>
      </c>
      <c r="D19" s="148" t="str">
        <f>IF(OR(IFERROR('0'!$W$19&gt;=$B$3,FALSE),'0'!$AC$19="Forcée",'0'!$X$19&lt;&gt;"",'0'!$AA$19&lt;&gt;""),'0'!$B$19,"")</f>
        <v/>
      </c>
      <c r="E19" s="148" t="str">
        <f>IF(OR(IFERROR('0'!$W$19&gt;=$B$3,FALSE),'0'!$AC$19="Forcée",'0'!$X$19&lt;&gt;"",'0'!$AA$19&lt;&gt;""),'0'!$C$19,"")</f>
        <v/>
      </c>
      <c r="F19" s="148" t="str">
        <f>IF(OR(IFERROR('0'!$W$19&gt;=$B$3,FALSE),'0'!$AC$19="Forcée",'0'!$X$19&lt;&gt;"",'0'!$AA$19&lt;&gt;""),'0'!$D$19,"")</f>
        <v/>
      </c>
      <c r="G19" s="148" t="str">
        <f>IF(OR(IFERROR('0'!$W$19&gt;=$B$3,FALSE),'0'!$AC$19="Forcée",'0'!$X$19&lt;&gt;"",'0'!$AA$19&lt;&gt;""),'0'!$E$19,"")</f>
        <v/>
      </c>
      <c r="H19" s="148" t="str">
        <f>IF(OR(IFERROR('0'!$W$19&gt;=$B$3,FALSE),'0'!$AC$19="Forcée",'0'!$X$19&lt;&gt;"",'0'!$AA$19&lt;&gt;""),'0'!$H$19,"")</f>
        <v/>
      </c>
      <c r="I19" s="148" t="str">
        <f>IF(OR(IFERROR('0'!$W$19&gt;=$B$3,FALSE),'0'!$AC$19="Forcée",'0'!$X$19&lt;&gt;"",'0'!$AA$19&lt;&gt;""),'0'!$W$19,"")</f>
        <v/>
      </c>
      <c r="J19" s="148" t="str">
        <f t="shared" si="0"/>
        <v/>
      </c>
      <c r="K19" s="148" t="str">
        <f>IF(A19="","",IF('0'!$AC$19="Forcée","Forcée",IF('0'!$AC$19="Exclue","Exclue","Automatique")))</f>
        <v/>
      </c>
      <c r="L19" s="148" t="str">
        <f>IF(A19="","",IF('0'!$AC$19="Exclue","Exclu",IF('0'!$W$19&gt;=$B$3,"Actif - risque significatif",IF(AND('0'!$W$19&lt;$B$3,'0'!$AD$19="Oui"),"Maîtrisé / clôturable","Maîtrisé - à vérifier"))))</f>
        <v/>
      </c>
      <c r="M19" s="148" t="str">
        <f>IF(A19="","",IF('0'!$W$19&gt;=16,"P1 - Critique",IF('0'!$W$19&gt;=13,"P2 - Haute",IF('0'!$W$19&gt;=9,"P3 - Moyenne","P4 - Basse"))))</f>
        <v/>
      </c>
      <c r="N19" s="148"/>
      <c r="O19" s="148" t="str">
        <f>IF(A19="","",'0'!$X$19)</f>
        <v/>
      </c>
      <c r="P19" s="148"/>
      <c r="Q19" s="148"/>
      <c r="R19" s="148" t="str">
        <f>IF(A19="","",'0'!$Z$19)</f>
        <v/>
      </c>
      <c r="S19" s="148"/>
      <c r="T19" s="148"/>
      <c r="U19" s="149"/>
      <c r="V19" s="150"/>
      <c r="W19" s="150" t="str">
        <f>IF(A19="","",'0'!$Y$19)</f>
        <v/>
      </c>
      <c r="X19" s="148"/>
      <c r="Y19" s="148"/>
      <c r="Z19" s="148"/>
      <c r="AA19" s="148"/>
      <c r="AB19" s="148" t="str">
        <f>IF(A19="","",'0'!$AA$19)</f>
        <v/>
      </c>
      <c r="AC19" s="148" t="str">
        <f>IF(A19="","",'0'!$AD$19)</f>
        <v/>
      </c>
      <c r="AD19" s="150" t="str">
        <f>IF(A19="","",'0'!$AE$19)</f>
        <v/>
      </c>
      <c r="AE19" s="148"/>
      <c r="AF19" s="148"/>
      <c r="AG19" s="148" t="str">
        <f>IF(A19="","",'0'!$AF$19)</f>
        <v/>
      </c>
      <c r="AH19" s="151" t="str">
        <f t="shared" si="1"/>
        <v/>
      </c>
    </row>
    <row r="20" spans="1:34">
      <c r="A20" s="148" t="str">
        <f>IF(OR(IFERROR('0'!$W$20&gt;=$B$3,FALSE),'0'!$AC$20="Forcée",'0'!$X$20&lt;&gt;"",'0'!$AA$20&lt;&gt;""),"0-20","")</f>
        <v/>
      </c>
      <c r="B20" s="148" t="str">
        <f>IF(OR(IFERROR('0'!$W$20&gt;=$B$3,FALSE),'0'!$AC$20="Forcée",'0'!$X$20&lt;&gt;"",'0'!$AA$20&lt;&gt;""),"0","")</f>
        <v/>
      </c>
      <c r="C20" s="148" t="str">
        <f>IF(OR(IFERROR('0'!$W$20&gt;=$B$3,FALSE),'0'!$AC$20="Forcée",'0'!$X$20&lt;&gt;"",'0'!$AA$20&lt;&gt;""),'0'!$A$20,"")</f>
        <v/>
      </c>
      <c r="D20" s="148" t="str">
        <f>IF(OR(IFERROR('0'!$W$20&gt;=$B$3,FALSE),'0'!$AC$20="Forcée",'0'!$X$20&lt;&gt;"",'0'!$AA$20&lt;&gt;""),'0'!$B$20,"")</f>
        <v/>
      </c>
      <c r="E20" s="148" t="str">
        <f>IF(OR(IFERROR('0'!$W$20&gt;=$B$3,FALSE),'0'!$AC$20="Forcée",'0'!$X$20&lt;&gt;"",'0'!$AA$20&lt;&gt;""),'0'!$C$20,"")</f>
        <v/>
      </c>
      <c r="F20" s="148" t="str">
        <f>IF(OR(IFERROR('0'!$W$20&gt;=$B$3,FALSE),'0'!$AC$20="Forcée",'0'!$X$20&lt;&gt;"",'0'!$AA$20&lt;&gt;""),'0'!$D$20,"")</f>
        <v/>
      </c>
      <c r="G20" s="148" t="str">
        <f>IF(OR(IFERROR('0'!$W$20&gt;=$B$3,FALSE),'0'!$AC$20="Forcée",'0'!$X$20&lt;&gt;"",'0'!$AA$20&lt;&gt;""),'0'!$E$20,"")</f>
        <v/>
      </c>
      <c r="H20" s="148" t="str">
        <f>IF(OR(IFERROR('0'!$W$20&gt;=$B$3,FALSE),'0'!$AC$20="Forcée",'0'!$X$20&lt;&gt;"",'0'!$AA$20&lt;&gt;""),'0'!$H$20,"")</f>
        <v/>
      </c>
      <c r="I20" s="148" t="str">
        <f>IF(OR(IFERROR('0'!$W$20&gt;=$B$3,FALSE),'0'!$AC$20="Forcée",'0'!$X$20&lt;&gt;"",'0'!$AA$20&lt;&gt;""),'0'!$W$20,"")</f>
        <v/>
      </c>
      <c r="J20" s="148" t="str">
        <f t="shared" si="0"/>
        <v/>
      </c>
      <c r="K20" s="148" t="str">
        <f>IF(A20="","",IF('0'!$AC$20="Forcée","Forcée",IF('0'!$AC$20="Exclue","Exclue","Automatique")))</f>
        <v/>
      </c>
      <c r="L20" s="148" t="str">
        <f>IF(A20="","",IF('0'!$AC$20="Exclue","Exclu",IF('0'!$W$20&gt;=$B$3,"Actif - risque significatif",IF(AND('0'!$W$20&lt;$B$3,'0'!$AD$20="Oui"),"Maîtrisé / clôturable","Maîtrisé - à vérifier"))))</f>
        <v/>
      </c>
      <c r="M20" s="148" t="str">
        <f>IF(A20="","",IF('0'!$W$20&gt;=16,"P1 - Critique",IF('0'!$W$20&gt;=13,"P2 - Haute",IF('0'!$W$20&gt;=9,"P3 - Moyenne","P4 - Basse"))))</f>
        <v/>
      </c>
      <c r="N20" s="148"/>
      <c r="O20" s="148" t="str">
        <f>IF(A20="","",'0'!$X$20)</f>
        <v/>
      </c>
      <c r="P20" s="148"/>
      <c r="Q20" s="148"/>
      <c r="R20" s="148" t="str">
        <f>IF(A20="","",'0'!$Z$20)</f>
        <v/>
      </c>
      <c r="S20" s="148"/>
      <c r="T20" s="148"/>
      <c r="U20" s="149"/>
      <c r="V20" s="150"/>
      <c r="W20" s="150" t="str">
        <f>IF(A20="","",'0'!$Y$20)</f>
        <v/>
      </c>
      <c r="X20" s="148"/>
      <c r="Y20" s="148"/>
      <c r="Z20" s="148"/>
      <c r="AA20" s="148"/>
      <c r="AB20" s="148" t="str">
        <f>IF(A20="","",'0'!$AA$20)</f>
        <v/>
      </c>
      <c r="AC20" s="148" t="str">
        <f>IF(A20="","",'0'!$AD$20)</f>
        <v/>
      </c>
      <c r="AD20" s="150" t="str">
        <f>IF(A20="","",'0'!$AE$20)</f>
        <v/>
      </c>
      <c r="AE20" s="148"/>
      <c r="AF20" s="148"/>
      <c r="AG20" s="148" t="str">
        <f>IF(A20="","",'0'!$AF$20)</f>
        <v/>
      </c>
      <c r="AH20" s="151" t="str">
        <f t="shared" si="1"/>
        <v/>
      </c>
    </row>
    <row r="21" spans="1:34">
      <c r="A21" s="148" t="str">
        <f>IF(OR(IFERROR('0'!$W$21&gt;=$B$3,FALSE),'0'!$AC$21="Forcée",'0'!$X$21&lt;&gt;"",'0'!$AA$21&lt;&gt;""),"0-21","")</f>
        <v/>
      </c>
      <c r="B21" s="148" t="str">
        <f>IF(OR(IFERROR('0'!$W$21&gt;=$B$3,FALSE),'0'!$AC$21="Forcée",'0'!$X$21&lt;&gt;"",'0'!$AA$21&lt;&gt;""),"0","")</f>
        <v/>
      </c>
      <c r="C21" s="148" t="str">
        <f>IF(OR(IFERROR('0'!$W$21&gt;=$B$3,FALSE),'0'!$AC$21="Forcée",'0'!$X$21&lt;&gt;"",'0'!$AA$21&lt;&gt;""),'0'!$A$21,"")</f>
        <v/>
      </c>
      <c r="D21" s="148" t="str">
        <f>IF(OR(IFERROR('0'!$W$21&gt;=$B$3,FALSE),'0'!$AC$21="Forcée",'0'!$X$21&lt;&gt;"",'0'!$AA$21&lt;&gt;""),'0'!$B$21,"")</f>
        <v/>
      </c>
      <c r="E21" s="148" t="str">
        <f>IF(OR(IFERROR('0'!$W$21&gt;=$B$3,FALSE),'0'!$AC$21="Forcée",'0'!$X$21&lt;&gt;"",'0'!$AA$21&lt;&gt;""),'0'!$C$21,"")</f>
        <v/>
      </c>
      <c r="F21" s="148" t="str">
        <f>IF(OR(IFERROR('0'!$W$21&gt;=$B$3,FALSE),'0'!$AC$21="Forcée",'0'!$X$21&lt;&gt;"",'0'!$AA$21&lt;&gt;""),'0'!$D$21,"")</f>
        <v/>
      </c>
      <c r="G21" s="148" t="str">
        <f>IF(OR(IFERROR('0'!$W$21&gt;=$B$3,FALSE),'0'!$AC$21="Forcée",'0'!$X$21&lt;&gt;"",'0'!$AA$21&lt;&gt;""),'0'!$E$21,"")</f>
        <v/>
      </c>
      <c r="H21" s="148" t="str">
        <f>IF(OR(IFERROR('0'!$W$21&gt;=$B$3,FALSE),'0'!$AC$21="Forcée",'0'!$X$21&lt;&gt;"",'0'!$AA$21&lt;&gt;""),'0'!$H$21,"")</f>
        <v/>
      </c>
      <c r="I21" s="148" t="str">
        <f>IF(OR(IFERROR('0'!$W$21&gt;=$B$3,FALSE),'0'!$AC$21="Forcée",'0'!$X$21&lt;&gt;"",'0'!$AA$21&lt;&gt;""),'0'!$W$21,"")</f>
        <v/>
      </c>
      <c r="J21" s="148" t="str">
        <f t="shared" si="0"/>
        <v/>
      </c>
      <c r="K21" s="148" t="str">
        <f>IF(A21="","",IF('0'!$AC$21="Forcée","Forcée",IF('0'!$AC$21="Exclue","Exclue","Automatique")))</f>
        <v/>
      </c>
      <c r="L21" s="148" t="str">
        <f>IF(A21="","",IF('0'!$AC$21="Exclue","Exclu",IF('0'!$W$21&gt;=$B$3,"Actif - risque significatif",IF(AND('0'!$W$21&lt;$B$3,'0'!$AD$21="Oui"),"Maîtrisé / clôturable","Maîtrisé - à vérifier"))))</f>
        <v/>
      </c>
      <c r="M21" s="148" t="str">
        <f>IF(A21="","",IF('0'!$W$21&gt;=16,"P1 - Critique",IF('0'!$W$21&gt;=13,"P2 - Haute",IF('0'!$W$21&gt;=9,"P3 - Moyenne","P4 - Basse"))))</f>
        <v/>
      </c>
      <c r="N21" s="148"/>
      <c r="O21" s="148" t="str">
        <f>IF(A21="","",'0'!$X$21)</f>
        <v/>
      </c>
      <c r="P21" s="148"/>
      <c r="Q21" s="148"/>
      <c r="R21" s="148" t="str">
        <f>IF(A21="","",'0'!$Z$21)</f>
        <v/>
      </c>
      <c r="S21" s="148"/>
      <c r="T21" s="148"/>
      <c r="U21" s="149"/>
      <c r="V21" s="150"/>
      <c r="W21" s="150" t="str">
        <f>IF(A21="","",'0'!$Y$21)</f>
        <v/>
      </c>
      <c r="X21" s="148"/>
      <c r="Y21" s="148"/>
      <c r="Z21" s="148"/>
      <c r="AA21" s="148"/>
      <c r="AB21" s="148" t="str">
        <f>IF(A21="","",'0'!$AA$21)</f>
        <v/>
      </c>
      <c r="AC21" s="148" t="str">
        <f>IF(A21="","",'0'!$AD$21)</f>
        <v/>
      </c>
      <c r="AD21" s="150" t="str">
        <f>IF(A21="","",'0'!$AE$21)</f>
        <v/>
      </c>
      <c r="AE21" s="148"/>
      <c r="AF21" s="148"/>
      <c r="AG21" s="148" t="str">
        <f>IF(A21="","",'0'!$AF$21)</f>
        <v/>
      </c>
      <c r="AH21" s="151" t="str">
        <f t="shared" si="1"/>
        <v/>
      </c>
    </row>
    <row r="22" spans="1:34">
      <c r="A22" s="148" t="str">
        <f>IF(OR(IFERROR('0'!$W$22&gt;=$B$3,FALSE),'0'!$AC$22="Forcée",'0'!$X$22&lt;&gt;"",'0'!$AA$22&lt;&gt;""),"0-22","")</f>
        <v/>
      </c>
      <c r="B22" s="148" t="str">
        <f>IF(OR(IFERROR('0'!$W$22&gt;=$B$3,FALSE),'0'!$AC$22="Forcée",'0'!$X$22&lt;&gt;"",'0'!$AA$22&lt;&gt;""),"0","")</f>
        <v/>
      </c>
      <c r="C22" s="148" t="str">
        <f>IF(OR(IFERROR('0'!$W$22&gt;=$B$3,FALSE),'0'!$AC$22="Forcée",'0'!$X$22&lt;&gt;"",'0'!$AA$22&lt;&gt;""),'0'!$A$22,"")</f>
        <v/>
      </c>
      <c r="D22" s="148" t="str">
        <f>IF(OR(IFERROR('0'!$W$22&gt;=$B$3,FALSE),'0'!$AC$22="Forcée",'0'!$X$22&lt;&gt;"",'0'!$AA$22&lt;&gt;""),'0'!$B$22,"")</f>
        <v/>
      </c>
      <c r="E22" s="148" t="str">
        <f>IF(OR(IFERROR('0'!$W$22&gt;=$B$3,FALSE),'0'!$AC$22="Forcée",'0'!$X$22&lt;&gt;"",'0'!$AA$22&lt;&gt;""),'0'!$C$22,"")</f>
        <v/>
      </c>
      <c r="F22" s="148" t="str">
        <f>IF(OR(IFERROR('0'!$W$22&gt;=$B$3,FALSE),'0'!$AC$22="Forcée",'0'!$X$22&lt;&gt;"",'0'!$AA$22&lt;&gt;""),'0'!$D$22,"")</f>
        <v/>
      </c>
      <c r="G22" s="148" t="str">
        <f>IF(OR(IFERROR('0'!$W$22&gt;=$B$3,FALSE),'0'!$AC$22="Forcée",'0'!$X$22&lt;&gt;"",'0'!$AA$22&lt;&gt;""),'0'!$E$22,"")</f>
        <v/>
      </c>
      <c r="H22" s="148" t="str">
        <f>IF(OR(IFERROR('0'!$W$22&gt;=$B$3,FALSE),'0'!$AC$22="Forcée",'0'!$X$22&lt;&gt;"",'0'!$AA$22&lt;&gt;""),'0'!$H$22,"")</f>
        <v/>
      </c>
      <c r="I22" s="148" t="str">
        <f>IF(OR(IFERROR('0'!$W$22&gt;=$B$3,FALSE),'0'!$AC$22="Forcée",'0'!$X$22&lt;&gt;"",'0'!$AA$22&lt;&gt;""),'0'!$W$22,"")</f>
        <v/>
      </c>
      <c r="J22" s="148" t="str">
        <f t="shared" si="0"/>
        <v/>
      </c>
      <c r="K22" s="148" t="str">
        <f>IF(A22="","",IF('0'!$AC$22="Forcée","Forcée",IF('0'!$AC$22="Exclue","Exclue","Automatique")))</f>
        <v/>
      </c>
      <c r="L22" s="148" t="str">
        <f>IF(A22="","",IF('0'!$AC$22="Exclue","Exclu",IF('0'!$W$22&gt;=$B$3,"Actif - risque significatif",IF(AND('0'!$W$22&lt;$B$3,'0'!$AD$22="Oui"),"Maîtrisé / clôturable","Maîtrisé - à vérifier"))))</f>
        <v/>
      </c>
      <c r="M22" s="148" t="str">
        <f>IF(A22="","",IF('0'!$W$22&gt;=16,"P1 - Critique",IF('0'!$W$22&gt;=13,"P2 - Haute",IF('0'!$W$22&gt;=9,"P3 - Moyenne","P4 - Basse"))))</f>
        <v/>
      </c>
      <c r="N22" s="148"/>
      <c r="O22" s="148" t="str">
        <f>IF(A22="","",'0'!$X$22)</f>
        <v/>
      </c>
      <c r="P22" s="148"/>
      <c r="Q22" s="148"/>
      <c r="R22" s="148" t="str">
        <f>IF(A22="","",'0'!$Z$22)</f>
        <v/>
      </c>
      <c r="S22" s="148"/>
      <c r="T22" s="148"/>
      <c r="U22" s="149"/>
      <c r="V22" s="150"/>
      <c r="W22" s="150" t="str">
        <f>IF(A22="","",'0'!$Y$22)</f>
        <v/>
      </c>
      <c r="X22" s="148"/>
      <c r="Y22" s="148"/>
      <c r="Z22" s="148"/>
      <c r="AA22" s="148"/>
      <c r="AB22" s="148" t="str">
        <f>IF(A22="","",'0'!$AA$22)</f>
        <v/>
      </c>
      <c r="AC22" s="148" t="str">
        <f>IF(A22="","",'0'!$AD$22)</f>
        <v/>
      </c>
      <c r="AD22" s="150" t="str">
        <f>IF(A22="","",'0'!$AE$22)</f>
        <v/>
      </c>
      <c r="AE22" s="148"/>
      <c r="AF22" s="148"/>
      <c r="AG22" s="148" t="str">
        <f>IF(A22="","",'0'!$AF$22)</f>
        <v/>
      </c>
      <c r="AH22" s="151" t="str">
        <f t="shared" si="1"/>
        <v/>
      </c>
    </row>
    <row r="23" spans="1:34">
      <c r="A23" s="148" t="str">
        <f>IF(OR(IFERROR('0'!$W$23&gt;=$B$3,FALSE),'0'!$AC$23="Forcée",'0'!$X$23&lt;&gt;"",'0'!$AA$23&lt;&gt;""),"0-23","")</f>
        <v/>
      </c>
      <c r="B23" s="148" t="str">
        <f>IF(OR(IFERROR('0'!$W$23&gt;=$B$3,FALSE),'0'!$AC$23="Forcée",'0'!$X$23&lt;&gt;"",'0'!$AA$23&lt;&gt;""),"0","")</f>
        <v/>
      </c>
      <c r="C23" s="148" t="str">
        <f>IF(OR(IFERROR('0'!$W$23&gt;=$B$3,FALSE),'0'!$AC$23="Forcée",'0'!$X$23&lt;&gt;"",'0'!$AA$23&lt;&gt;""),'0'!$A$23,"")</f>
        <v/>
      </c>
      <c r="D23" s="148" t="str">
        <f>IF(OR(IFERROR('0'!$W$23&gt;=$B$3,FALSE),'0'!$AC$23="Forcée",'0'!$X$23&lt;&gt;"",'0'!$AA$23&lt;&gt;""),'0'!$B$23,"")</f>
        <v/>
      </c>
      <c r="E23" s="148" t="str">
        <f>IF(OR(IFERROR('0'!$W$23&gt;=$B$3,FALSE),'0'!$AC$23="Forcée",'0'!$X$23&lt;&gt;"",'0'!$AA$23&lt;&gt;""),'0'!$C$23,"")</f>
        <v/>
      </c>
      <c r="F23" s="148" t="str">
        <f>IF(OR(IFERROR('0'!$W$23&gt;=$B$3,FALSE),'0'!$AC$23="Forcée",'0'!$X$23&lt;&gt;"",'0'!$AA$23&lt;&gt;""),'0'!$D$23,"")</f>
        <v/>
      </c>
      <c r="G23" s="148" t="str">
        <f>IF(OR(IFERROR('0'!$W$23&gt;=$B$3,FALSE),'0'!$AC$23="Forcée",'0'!$X$23&lt;&gt;"",'0'!$AA$23&lt;&gt;""),'0'!$E$23,"")</f>
        <v/>
      </c>
      <c r="H23" s="148" t="str">
        <f>IF(OR(IFERROR('0'!$W$23&gt;=$B$3,FALSE),'0'!$AC$23="Forcée",'0'!$X$23&lt;&gt;"",'0'!$AA$23&lt;&gt;""),'0'!$H$23,"")</f>
        <v/>
      </c>
      <c r="I23" s="148" t="str">
        <f>IF(OR(IFERROR('0'!$W$23&gt;=$B$3,FALSE),'0'!$AC$23="Forcée",'0'!$X$23&lt;&gt;"",'0'!$AA$23&lt;&gt;""),'0'!$W$23,"")</f>
        <v/>
      </c>
      <c r="J23" s="148" t="str">
        <f t="shared" si="0"/>
        <v/>
      </c>
      <c r="K23" s="148" t="str">
        <f>IF(A23="","",IF('0'!$AC$23="Forcée","Forcée",IF('0'!$AC$23="Exclue","Exclue","Automatique")))</f>
        <v/>
      </c>
      <c r="L23" s="148" t="str">
        <f>IF(A23="","",IF('0'!$AC$23="Exclue","Exclu",IF('0'!$W$23&gt;=$B$3,"Actif - risque significatif",IF(AND('0'!$W$23&lt;$B$3,'0'!$AD$23="Oui"),"Maîtrisé / clôturable","Maîtrisé - à vérifier"))))</f>
        <v/>
      </c>
      <c r="M23" s="148" t="str">
        <f>IF(A23="","",IF('0'!$W$23&gt;=16,"P1 - Critique",IF('0'!$W$23&gt;=13,"P2 - Haute",IF('0'!$W$23&gt;=9,"P3 - Moyenne","P4 - Basse"))))</f>
        <v/>
      </c>
      <c r="N23" s="148"/>
      <c r="O23" s="148" t="str">
        <f>IF(A23="","",'0'!$X$23)</f>
        <v/>
      </c>
      <c r="P23" s="148"/>
      <c r="Q23" s="148"/>
      <c r="R23" s="148" t="str">
        <f>IF(A23="","",'0'!$Z$23)</f>
        <v/>
      </c>
      <c r="S23" s="148"/>
      <c r="T23" s="148"/>
      <c r="U23" s="149"/>
      <c r="V23" s="150"/>
      <c r="W23" s="150" t="str">
        <f>IF(A23="","",'0'!$Y$23)</f>
        <v/>
      </c>
      <c r="X23" s="148"/>
      <c r="Y23" s="148"/>
      <c r="Z23" s="148"/>
      <c r="AA23" s="148"/>
      <c r="AB23" s="148" t="str">
        <f>IF(A23="","",'0'!$AA$23)</f>
        <v/>
      </c>
      <c r="AC23" s="148" t="str">
        <f>IF(A23="","",'0'!$AD$23)</f>
        <v/>
      </c>
      <c r="AD23" s="150" t="str">
        <f>IF(A23="","",'0'!$AE$23)</f>
        <v/>
      </c>
      <c r="AE23" s="148"/>
      <c r="AF23" s="148"/>
      <c r="AG23" s="148" t="str">
        <f>IF(A23="","",'0'!$AF$23)</f>
        <v/>
      </c>
      <c r="AH23" s="151" t="str">
        <f t="shared" si="1"/>
        <v/>
      </c>
    </row>
    <row r="24" spans="1:34">
      <c r="A24" s="148" t="str">
        <f>IF(OR(IFERROR('0'!$W$24&gt;=$B$3,FALSE),'0'!$AC$24="Forcée",'0'!$X$24&lt;&gt;"",'0'!$AA$24&lt;&gt;""),"0-24","")</f>
        <v/>
      </c>
      <c r="B24" s="148" t="str">
        <f>IF(OR(IFERROR('0'!$W$24&gt;=$B$3,FALSE),'0'!$AC$24="Forcée",'0'!$X$24&lt;&gt;"",'0'!$AA$24&lt;&gt;""),"0","")</f>
        <v/>
      </c>
      <c r="C24" s="148" t="str">
        <f>IF(OR(IFERROR('0'!$W$24&gt;=$B$3,FALSE),'0'!$AC$24="Forcée",'0'!$X$24&lt;&gt;"",'0'!$AA$24&lt;&gt;""),'0'!$A$24,"")</f>
        <v/>
      </c>
      <c r="D24" s="148" t="str">
        <f>IF(OR(IFERROR('0'!$W$24&gt;=$B$3,FALSE),'0'!$AC$24="Forcée",'0'!$X$24&lt;&gt;"",'0'!$AA$24&lt;&gt;""),'0'!$B$24,"")</f>
        <v/>
      </c>
      <c r="E24" s="148" t="str">
        <f>IF(OR(IFERROR('0'!$W$24&gt;=$B$3,FALSE),'0'!$AC$24="Forcée",'0'!$X$24&lt;&gt;"",'0'!$AA$24&lt;&gt;""),'0'!$C$24,"")</f>
        <v/>
      </c>
      <c r="F24" s="148" t="str">
        <f>IF(OR(IFERROR('0'!$W$24&gt;=$B$3,FALSE),'0'!$AC$24="Forcée",'0'!$X$24&lt;&gt;"",'0'!$AA$24&lt;&gt;""),'0'!$D$24,"")</f>
        <v/>
      </c>
      <c r="G24" s="148" t="str">
        <f>IF(OR(IFERROR('0'!$W$24&gt;=$B$3,FALSE),'0'!$AC$24="Forcée",'0'!$X$24&lt;&gt;"",'0'!$AA$24&lt;&gt;""),'0'!$E$24,"")</f>
        <v/>
      </c>
      <c r="H24" s="148" t="str">
        <f>IF(OR(IFERROR('0'!$W$24&gt;=$B$3,FALSE),'0'!$AC$24="Forcée",'0'!$X$24&lt;&gt;"",'0'!$AA$24&lt;&gt;""),'0'!$H$24,"")</f>
        <v/>
      </c>
      <c r="I24" s="148" t="str">
        <f>IF(OR(IFERROR('0'!$W$24&gt;=$B$3,FALSE),'0'!$AC$24="Forcée",'0'!$X$24&lt;&gt;"",'0'!$AA$24&lt;&gt;""),'0'!$W$24,"")</f>
        <v/>
      </c>
      <c r="J24" s="148" t="str">
        <f t="shared" si="0"/>
        <v/>
      </c>
      <c r="K24" s="148" t="str">
        <f>IF(A24="","",IF('0'!$AC$24="Forcée","Forcée",IF('0'!$AC$24="Exclue","Exclue","Automatique")))</f>
        <v/>
      </c>
      <c r="L24" s="148" t="str">
        <f>IF(A24="","",IF('0'!$AC$24="Exclue","Exclu",IF('0'!$W$24&gt;=$B$3,"Actif - risque significatif",IF(AND('0'!$W$24&lt;$B$3,'0'!$AD$24="Oui"),"Maîtrisé / clôturable","Maîtrisé - à vérifier"))))</f>
        <v/>
      </c>
      <c r="M24" s="148" t="str">
        <f>IF(A24="","",IF('0'!$W$24&gt;=16,"P1 - Critique",IF('0'!$W$24&gt;=13,"P2 - Haute",IF('0'!$W$24&gt;=9,"P3 - Moyenne","P4 - Basse"))))</f>
        <v/>
      </c>
      <c r="N24" s="148"/>
      <c r="O24" s="148" t="str">
        <f>IF(A24="","",'0'!$X$24)</f>
        <v/>
      </c>
      <c r="P24" s="148"/>
      <c r="Q24" s="148"/>
      <c r="R24" s="148" t="str">
        <f>IF(A24="","",'0'!$Z$24)</f>
        <v/>
      </c>
      <c r="S24" s="148"/>
      <c r="T24" s="148"/>
      <c r="U24" s="149"/>
      <c r="V24" s="150"/>
      <c r="W24" s="150" t="str">
        <f>IF(A24="","",'0'!$Y$24)</f>
        <v/>
      </c>
      <c r="X24" s="148"/>
      <c r="Y24" s="148"/>
      <c r="Z24" s="148"/>
      <c r="AA24" s="148"/>
      <c r="AB24" s="148" t="str">
        <f>IF(A24="","",'0'!$AA$24)</f>
        <v/>
      </c>
      <c r="AC24" s="148" t="str">
        <f>IF(A24="","",'0'!$AD$24)</f>
        <v/>
      </c>
      <c r="AD24" s="150" t="str">
        <f>IF(A24="","",'0'!$AE$24)</f>
        <v/>
      </c>
      <c r="AE24" s="148"/>
      <c r="AF24" s="148"/>
      <c r="AG24" s="148" t="str">
        <f>IF(A24="","",'0'!$AF$24)</f>
        <v/>
      </c>
      <c r="AH24" s="151" t="str">
        <f t="shared" si="1"/>
        <v/>
      </c>
    </row>
    <row r="25" spans="1:34">
      <c r="A25" s="148" t="str">
        <f>IF(OR(IFERROR('0'!$W$25&gt;=$B$3,FALSE),'0'!$AC$25="Forcée",'0'!$X$25&lt;&gt;"",'0'!$AA$25&lt;&gt;""),"0-25","")</f>
        <v/>
      </c>
      <c r="B25" s="148" t="str">
        <f>IF(OR(IFERROR('0'!$W$25&gt;=$B$3,FALSE),'0'!$AC$25="Forcée",'0'!$X$25&lt;&gt;"",'0'!$AA$25&lt;&gt;""),"0","")</f>
        <v/>
      </c>
      <c r="C25" s="148" t="str">
        <f>IF(OR(IFERROR('0'!$W$25&gt;=$B$3,FALSE),'0'!$AC$25="Forcée",'0'!$X$25&lt;&gt;"",'0'!$AA$25&lt;&gt;""),'0'!$A$25,"")</f>
        <v/>
      </c>
      <c r="D25" s="148" t="str">
        <f>IF(OR(IFERROR('0'!$W$25&gt;=$B$3,FALSE),'0'!$AC$25="Forcée",'0'!$X$25&lt;&gt;"",'0'!$AA$25&lt;&gt;""),'0'!$B$25,"")</f>
        <v/>
      </c>
      <c r="E25" s="148" t="str">
        <f>IF(OR(IFERROR('0'!$W$25&gt;=$B$3,FALSE),'0'!$AC$25="Forcée",'0'!$X$25&lt;&gt;"",'0'!$AA$25&lt;&gt;""),'0'!$C$25,"")</f>
        <v/>
      </c>
      <c r="F25" s="148" t="str">
        <f>IF(OR(IFERROR('0'!$W$25&gt;=$B$3,FALSE),'0'!$AC$25="Forcée",'0'!$X$25&lt;&gt;"",'0'!$AA$25&lt;&gt;""),'0'!$D$25,"")</f>
        <v/>
      </c>
      <c r="G25" s="148" t="str">
        <f>IF(OR(IFERROR('0'!$W$25&gt;=$B$3,FALSE),'0'!$AC$25="Forcée",'0'!$X$25&lt;&gt;"",'0'!$AA$25&lt;&gt;""),'0'!$E$25,"")</f>
        <v/>
      </c>
      <c r="H25" s="148" t="str">
        <f>IF(OR(IFERROR('0'!$W$25&gt;=$B$3,FALSE),'0'!$AC$25="Forcée",'0'!$X$25&lt;&gt;"",'0'!$AA$25&lt;&gt;""),'0'!$H$25,"")</f>
        <v/>
      </c>
      <c r="I25" s="148" t="str">
        <f>IF(OR(IFERROR('0'!$W$25&gt;=$B$3,FALSE),'0'!$AC$25="Forcée",'0'!$X$25&lt;&gt;"",'0'!$AA$25&lt;&gt;""),'0'!$W$25,"")</f>
        <v/>
      </c>
      <c r="J25" s="148" t="str">
        <f t="shared" si="0"/>
        <v/>
      </c>
      <c r="K25" s="148" t="str">
        <f>IF(A25="","",IF('0'!$AC$25="Forcée","Forcée",IF('0'!$AC$25="Exclue","Exclue","Automatique")))</f>
        <v/>
      </c>
      <c r="L25" s="148" t="str">
        <f>IF(A25="","",IF('0'!$AC$25="Exclue","Exclu",IF('0'!$W$25&gt;=$B$3,"Actif - risque significatif",IF(AND('0'!$W$25&lt;$B$3,'0'!$AD$25="Oui"),"Maîtrisé / clôturable","Maîtrisé - à vérifier"))))</f>
        <v/>
      </c>
      <c r="M25" s="148" t="str">
        <f>IF(A25="","",IF('0'!$W$25&gt;=16,"P1 - Critique",IF('0'!$W$25&gt;=13,"P2 - Haute",IF('0'!$W$25&gt;=9,"P3 - Moyenne","P4 - Basse"))))</f>
        <v/>
      </c>
      <c r="N25" s="148"/>
      <c r="O25" s="148" t="str">
        <f>IF(A25="","",'0'!$X$25)</f>
        <v/>
      </c>
      <c r="P25" s="148"/>
      <c r="Q25" s="148"/>
      <c r="R25" s="148" t="str">
        <f>IF(A25="","",'0'!$Z$25)</f>
        <v/>
      </c>
      <c r="S25" s="148"/>
      <c r="T25" s="148"/>
      <c r="U25" s="149"/>
      <c r="V25" s="150"/>
      <c r="W25" s="150" t="str">
        <f>IF(A25="","",'0'!$Y$25)</f>
        <v/>
      </c>
      <c r="X25" s="148"/>
      <c r="Y25" s="148"/>
      <c r="Z25" s="148"/>
      <c r="AA25" s="148"/>
      <c r="AB25" s="148" t="str">
        <f>IF(A25="","",'0'!$AA$25)</f>
        <v/>
      </c>
      <c r="AC25" s="148" t="str">
        <f>IF(A25="","",'0'!$AD$25)</f>
        <v/>
      </c>
      <c r="AD25" s="150" t="str">
        <f>IF(A25="","",'0'!$AE$25)</f>
        <v/>
      </c>
      <c r="AE25" s="148"/>
      <c r="AF25" s="148"/>
      <c r="AG25" s="148" t="str">
        <f>IF(A25="","",'0'!$AF$25)</f>
        <v/>
      </c>
      <c r="AH25" s="151" t="str">
        <f t="shared" si="1"/>
        <v/>
      </c>
    </row>
    <row r="26" spans="1:34">
      <c r="A26" s="148" t="str">
        <f>IF(OR(IFERROR('0'!$W$26&gt;=$B$3,FALSE),'0'!$AC$26="Forcée",'0'!$X$26&lt;&gt;"",'0'!$AA$26&lt;&gt;""),"0-26","")</f>
        <v/>
      </c>
      <c r="B26" s="148" t="str">
        <f>IF(OR(IFERROR('0'!$W$26&gt;=$B$3,FALSE),'0'!$AC$26="Forcée",'0'!$X$26&lt;&gt;"",'0'!$AA$26&lt;&gt;""),"0","")</f>
        <v/>
      </c>
      <c r="C26" s="148" t="str">
        <f>IF(OR(IFERROR('0'!$W$26&gt;=$B$3,FALSE),'0'!$AC$26="Forcée",'0'!$X$26&lt;&gt;"",'0'!$AA$26&lt;&gt;""),'0'!$A$26,"")</f>
        <v/>
      </c>
      <c r="D26" s="148" t="str">
        <f>IF(OR(IFERROR('0'!$W$26&gt;=$B$3,FALSE),'0'!$AC$26="Forcée",'0'!$X$26&lt;&gt;"",'0'!$AA$26&lt;&gt;""),'0'!$B$26,"")</f>
        <v/>
      </c>
      <c r="E26" s="148" t="str">
        <f>IF(OR(IFERROR('0'!$W$26&gt;=$B$3,FALSE),'0'!$AC$26="Forcée",'0'!$X$26&lt;&gt;"",'0'!$AA$26&lt;&gt;""),'0'!$C$26,"")</f>
        <v/>
      </c>
      <c r="F26" s="148" t="str">
        <f>IF(OR(IFERROR('0'!$W$26&gt;=$B$3,FALSE),'0'!$AC$26="Forcée",'0'!$X$26&lt;&gt;"",'0'!$AA$26&lt;&gt;""),'0'!$D$26,"")</f>
        <v/>
      </c>
      <c r="G26" s="148" t="str">
        <f>IF(OR(IFERROR('0'!$W$26&gt;=$B$3,FALSE),'0'!$AC$26="Forcée",'0'!$X$26&lt;&gt;"",'0'!$AA$26&lt;&gt;""),'0'!$E$26,"")</f>
        <v/>
      </c>
      <c r="H26" s="148" t="str">
        <f>IF(OR(IFERROR('0'!$W$26&gt;=$B$3,FALSE),'0'!$AC$26="Forcée",'0'!$X$26&lt;&gt;"",'0'!$AA$26&lt;&gt;""),'0'!$H$26,"")</f>
        <v/>
      </c>
      <c r="I26" s="148" t="str">
        <f>IF(OR(IFERROR('0'!$W$26&gt;=$B$3,FALSE),'0'!$AC$26="Forcée",'0'!$X$26&lt;&gt;"",'0'!$AA$26&lt;&gt;""),'0'!$W$26,"")</f>
        <v/>
      </c>
      <c r="J26" s="148" t="str">
        <f t="shared" si="0"/>
        <v/>
      </c>
      <c r="K26" s="148" t="str">
        <f>IF(A26="","",IF('0'!$AC$26="Forcée","Forcée",IF('0'!$AC$26="Exclue","Exclue","Automatique")))</f>
        <v/>
      </c>
      <c r="L26" s="148" t="str">
        <f>IF(A26="","",IF('0'!$AC$26="Exclue","Exclu",IF('0'!$W$26&gt;=$B$3,"Actif - risque significatif",IF(AND('0'!$W$26&lt;$B$3,'0'!$AD$26="Oui"),"Maîtrisé / clôturable","Maîtrisé - à vérifier"))))</f>
        <v/>
      </c>
      <c r="M26" s="148" t="str">
        <f>IF(A26="","",IF('0'!$W$26&gt;=16,"P1 - Critique",IF('0'!$W$26&gt;=13,"P2 - Haute",IF('0'!$W$26&gt;=9,"P3 - Moyenne","P4 - Basse"))))</f>
        <v/>
      </c>
      <c r="N26" s="148"/>
      <c r="O26" s="148" t="str">
        <f>IF(A26="","",'0'!$X$26)</f>
        <v/>
      </c>
      <c r="P26" s="148"/>
      <c r="Q26" s="148"/>
      <c r="R26" s="148" t="str">
        <f>IF(A26="","",'0'!$Z$26)</f>
        <v/>
      </c>
      <c r="S26" s="148"/>
      <c r="T26" s="148"/>
      <c r="U26" s="149"/>
      <c r="V26" s="150"/>
      <c r="W26" s="150" t="str">
        <f>IF(A26="","",'0'!$Y$26)</f>
        <v/>
      </c>
      <c r="X26" s="148"/>
      <c r="Y26" s="148"/>
      <c r="Z26" s="148"/>
      <c r="AA26" s="148"/>
      <c r="AB26" s="148" t="str">
        <f>IF(A26="","",'0'!$AA$26)</f>
        <v/>
      </c>
      <c r="AC26" s="148" t="str">
        <f>IF(A26="","",'0'!$AD$26)</f>
        <v/>
      </c>
      <c r="AD26" s="150" t="str">
        <f>IF(A26="","",'0'!$AE$26)</f>
        <v/>
      </c>
      <c r="AE26" s="148"/>
      <c r="AF26" s="148"/>
      <c r="AG26" s="148" t="str">
        <f>IF(A26="","",'0'!$AF$26)</f>
        <v/>
      </c>
      <c r="AH26" s="151" t="str">
        <f t="shared" si="1"/>
        <v/>
      </c>
    </row>
    <row r="27" spans="1:34">
      <c r="A27" s="148" t="str">
        <f>IF(OR(IFERROR('0'!$W$27&gt;=$B$3,FALSE),'0'!$AC$27="Forcée",'0'!$X$27&lt;&gt;"",'0'!$AA$27&lt;&gt;""),"0-27","")</f>
        <v/>
      </c>
      <c r="B27" s="148" t="str">
        <f>IF(OR(IFERROR('0'!$W$27&gt;=$B$3,FALSE),'0'!$AC$27="Forcée",'0'!$X$27&lt;&gt;"",'0'!$AA$27&lt;&gt;""),"0","")</f>
        <v/>
      </c>
      <c r="C27" s="148" t="str">
        <f>IF(OR(IFERROR('0'!$W$27&gt;=$B$3,FALSE),'0'!$AC$27="Forcée",'0'!$X$27&lt;&gt;"",'0'!$AA$27&lt;&gt;""),'0'!$A$27,"")</f>
        <v/>
      </c>
      <c r="D27" s="148" t="str">
        <f>IF(OR(IFERROR('0'!$W$27&gt;=$B$3,FALSE),'0'!$AC$27="Forcée",'0'!$X$27&lt;&gt;"",'0'!$AA$27&lt;&gt;""),'0'!$B$27,"")</f>
        <v/>
      </c>
      <c r="E27" s="148" t="str">
        <f>IF(OR(IFERROR('0'!$W$27&gt;=$B$3,FALSE),'0'!$AC$27="Forcée",'0'!$X$27&lt;&gt;"",'0'!$AA$27&lt;&gt;""),'0'!$C$27,"")</f>
        <v/>
      </c>
      <c r="F27" s="148" t="str">
        <f>IF(OR(IFERROR('0'!$W$27&gt;=$B$3,FALSE),'0'!$AC$27="Forcée",'0'!$X$27&lt;&gt;"",'0'!$AA$27&lt;&gt;""),'0'!$D$27,"")</f>
        <v/>
      </c>
      <c r="G27" s="148" t="str">
        <f>IF(OR(IFERROR('0'!$W$27&gt;=$B$3,FALSE),'0'!$AC$27="Forcée",'0'!$X$27&lt;&gt;"",'0'!$AA$27&lt;&gt;""),'0'!$E$27,"")</f>
        <v/>
      </c>
      <c r="H27" s="148" t="str">
        <f>IF(OR(IFERROR('0'!$W$27&gt;=$B$3,FALSE),'0'!$AC$27="Forcée",'0'!$X$27&lt;&gt;"",'0'!$AA$27&lt;&gt;""),'0'!$H$27,"")</f>
        <v/>
      </c>
      <c r="I27" s="148" t="str">
        <f>IF(OR(IFERROR('0'!$W$27&gt;=$B$3,FALSE),'0'!$AC$27="Forcée",'0'!$X$27&lt;&gt;"",'0'!$AA$27&lt;&gt;""),'0'!$W$27,"")</f>
        <v/>
      </c>
      <c r="J27" s="148" t="str">
        <f t="shared" si="0"/>
        <v/>
      </c>
      <c r="K27" s="148" t="str">
        <f>IF(A27="","",IF('0'!$AC$27="Forcée","Forcée",IF('0'!$AC$27="Exclue","Exclue","Automatique")))</f>
        <v/>
      </c>
      <c r="L27" s="148" t="str">
        <f>IF(A27="","",IF('0'!$AC$27="Exclue","Exclu",IF('0'!$W$27&gt;=$B$3,"Actif - risque significatif",IF(AND('0'!$W$27&lt;$B$3,'0'!$AD$27="Oui"),"Maîtrisé / clôturable","Maîtrisé - à vérifier"))))</f>
        <v/>
      </c>
      <c r="M27" s="148" t="str">
        <f>IF(A27="","",IF('0'!$W$27&gt;=16,"P1 - Critique",IF('0'!$W$27&gt;=13,"P2 - Haute",IF('0'!$W$27&gt;=9,"P3 - Moyenne","P4 - Basse"))))</f>
        <v/>
      </c>
      <c r="N27" s="148"/>
      <c r="O27" s="148" t="str">
        <f>IF(A27="","",'0'!$X$27)</f>
        <v/>
      </c>
      <c r="P27" s="148"/>
      <c r="Q27" s="148"/>
      <c r="R27" s="148" t="str">
        <f>IF(A27="","",'0'!$Z$27)</f>
        <v/>
      </c>
      <c r="S27" s="148"/>
      <c r="T27" s="148"/>
      <c r="U27" s="149"/>
      <c r="V27" s="150"/>
      <c r="W27" s="150" t="str">
        <f>IF(A27="","",'0'!$Y$27)</f>
        <v/>
      </c>
      <c r="X27" s="148"/>
      <c r="Y27" s="148"/>
      <c r="Z27" s="148"/>
      <c r="AA27" s="148"/>
      <c r="AB27" s="148" t="str">
        <f>IF(A27="","",'0'!$AA$27)</f>
        <v/>
      </c>
      <c r="AC27" s="148" t="str">
        <f>IF(A27="","",'0'!$AD$27)</f>
        <v/>
      </c>
      <c r="AD27" s="150" t="str">
        <f>IF(A27="","",'0'!$AE$27)</f>
        <v/>
      </c>
      <c r="AE27" s="148"/>
      <c r="AF27" s="148"/>
      <c r="AG27" s="148" t="str">
        <f>IF(A27="","",'0'!$AF$27)</f>
        <v/>
      </c>
      <c r="AH27" s="151" t="str">
        <f t="shared" si="1"/>
        <v/>
      </c>
    </row>
    <row r="28" spans="1:34">
      <c r="A28" s="148" t="str">
        <f>IF(OR(IFERROR('0'!$W$28&gt;=$B$3,FALSE),'0'!$AC$28="Forcée",'0'!$X$28&lt;&gt;"",'0'!$AA$28&lt;&gt;""),"0-28","")</f>
        <v/>
      </c>
      <c r="B28" s="148" t="str">
        <f>IF(OR(IFERROR('0'!$W$28&gt;=$B$3,FALSE),'0'!$AC$28="Forcée",'0'!$X$28&lt;&gt;"",'0'!$AA$28&lt;&gt;""),"0","")</f>
        <v/>
      </c>
      <c r="C28" s="148" t="str">
        <f>IF(OR(IFERROR('0'!$W$28&gt;=$B$3,FALSE),'0'!$AC$28="Forcée",'0'!$X$28&lt;&gt;"",'0'!$AA$28&lt;&gt;""),'0'!$A$28,"")</f>
        <v/>
      </c>
      <c r="D28" s="148" t="str">
        <f>IF(OR(IFERROR('0'!$W$28&gt;=$B$3,FALSE),'0'!$AC$28="Forcée",'0'!$X$28&lt;&gt;"",'0'!$AA$28&lt;&gt;""),'0'!$B$28,"")</f>
        <v/>
      </c>
      <c r="E28" s="148" t="str">
        <f>IF(OR(IFERROR('0'!$W$28&gt;=$B$3,FALSE),'0'!$AC$28="Forcée",'0'!$X$28&lt;&gt;"",'0'!$AA$28&lt;&gt;""),'0'!$C$28,"")</f>
        <v/>
      </c>
      <c r="F28" s="148" t="str">
        <f>IF(OR(IFERROR('0'!$W$28&gt;=$B$3,FALSE),'0'!$AC$28="Forcée",'0'!$X$28&lt;&gt;"",'0'!$AA$28&lt;&gt;""),'0'!$D$28,"")</f>
        <v/>
      </c>
      <c r="G28" s="148" t="str">
        <f>IF(OR(IFERROR('0'!$W$28&gt;=$B$3,FALSE),'0'!$AC$28="Forcée",'0'!$X$28&lt;&gt;"",'0'!$AA$28&lt;&gt;""),'0'!$E$28,"")</f>
        <v/>
      </c>
      <c r="H28" s="148" t="str">
        <f>IF(OR(IFERROR('0'!$W$28&gt;=$B$3,FALSE),'0'!$AC$28="Forcée",'0'!$X$28&lt;&gt;"",'0'!$AA$28&lt;&gt;""),'0'!$H$28,"")</f>
        <v/>
      </c>
      <c r="I28" s="148" t="str">
        <f>IF(OR(IFERROR('0'!$W$28&gt;=$B$3,FALSE),'0'!$AC$28="Forcée",'0'!$X$28&lt;&gt;"",'0'!$AA$28&lt;&gt;""),'0'!$W$28,"")</f>
        <v/>
      </c>
      <c r="J28" s="148" t="str">
        <f t="shared" si="0"/>
        <v/>
      </c>
      <c r="K28" s="148" t="str">
        <f>IF(A28="","",IF('0'!$AC$28="Forcée","Forcée",IF('0'!$AC$28="Exclue","Exclue","Automatique")))</f>
        <v/>
      </c>
      <c r="L28" s="148" t="str">
        <f>IF(A28="","",IF('0'!$AC$28="Exclue","Exclu",IF('0'!$W$28&gt;=$B$3,"Actif - risque significatif",IF(AND('0'!$W$28&lt;$B$3,'0'!$AD$28="Oui"),"Maîtrisé / clôturable","Maîtrisé - à vérifier"))))</f>
        <v/>
      </c>
      <c r="M28" s="148" t="str">
        <f>IF(A28="","",IF('0'!$W$28&gt;=16,"P1 - Critique",IF('0'!$W$28&gt;=13,"P2 - Haute",IF('0'!$W$28&gt;=9,"P3 - Moyenne","P4 - Basse"))))</f>
        <v/>
      </c>
      <c r="N28" s="148"/>
      <c r="O28" s="148" t="str">
        <f>IF(A28="","",'0'!$X$28)</f>
        <v/>
      </c>
      <c r="P28" s="148"/>
      <c r="Q28" s="148"/>
      <c r="R28" s="148" t="str">
        <f>IF(A28="","",'0'!$Z$28)</f>
        <v/>
      </c>
      <c r="S28" s="148"/>
      <c r="T28" s="148"/>
      <c r="U28" s="149"/>
      <c r="V28" s="150"/>
      <c r="W28" s="150" t="str">
        <f>IF(A28="","",'0'!$Y$28)</f>
        <v/>
      </c>
      <c r="X28" s="148"/>
      <c r="Y28" s="148"/>
      <c r="Z28" s="148"/>
      <c r="AA28" s="148"/>
      <c r="AB28" s="148" t="str">
        <f>IF(A28="","",'0'!$AA$28)</f>
        <v/>
      </c>
      <c r="AC28" s="148" t="str">
        <f>IF(A28="","",'0'!$AD$28)</f>
        <v/>
      </c>
      <c r="AD28" s="150" t="str">
        <f>IF(A28="","",'0'!$AE$28)</f>
        <v/>
      </c>
      <c r="AE28" s="148"/>
      <c r="AF28" s="148"/>
      <c r="AG28" s="148" t="str">
        <f>IF(A28="","",'0'!$AF$28)</f>
        <v/>
      </c>
      <c r="AH28" s="151" t="str">
        <f t="shared" si="1"/>
        <v/>
      </c>
    </row>
    <row r="29" spans="1:34">
      <c r="A29" s="148" t="str">
        <f>IF(OR(IFERROR('0'!$W$29&gt;=$B$3,FALSE),'0'!$AC$29="Forcée",'0'!$X$29&lt;&gt;"",'0'!$AA$29&lt;&gt;""),"0-29","")</f>
        <v/>
      </c>
      <c r="B29" s="148" t="str">
        <f>IF(OR(IFERROR('0'!$W$29&gt;=$B$3,FALSE),'0'!$AC$29="Forcée",'0'!$X$29&lt;&gt;"",'0'!$AA$29&lt;&gt;""),"0","")</f>
        <v/>
      </c>
      <c r="C29" s="148" t="str">
        <f>IF(OR(IFERROR('0'!$W$29&gt;=$B$3,FALSE),'0'!$AC$29="Forcée",'0'!$X$29&lt;&gt;"",'0'!$AA$29&lt;&gt;""),'0'!$A$29,"")</f>
        <v/>
      </c>
      <c r="D29" s="148" t="str">
        <f>IF(OR(IFERROR('0'!$W$29&gt;=$B$3,FALSE),'0'!$AC$29="Forcée",'0'!$X$29&lt;&gt;"",'0'!$AA$29&lt;&gt;""),'0'!$B$29,"")</f>
        <v/>
      </c>
      <c r="E29" s="148" t="str">
        <f>IF(OR(IFERROR('0'!$W$29&gt;=$B$3,FALSE),'0'!$AC$29="Forcée",'0'!$X$29&lt;&gt;"",'0'!$AA$29&lt;&gt;""),'0'!$C$29,"")</f>
        <v/>
      </c>
      <c r="F29" s="148" t="str">
        <f>IF(OR(IFERROR('0'!$W$29&gt;=$B$3,FALSE),'0'!$AC$29="Forcée",'0'!$X$29&lt;&gt;"",'0'!$AA$29&lt;&gt;""),'0'!$D$29,"")</f>
        <v/>
      </c>
      <c r="G29" s="148" t="str">
        <f>IF(OR(IFERROR('0'!$W$29&gt;=$B$3,FALSE),'0'!$AC$29="Forcée",'0'!$X$29&lt;&gt;"",'0'!$AA$29&lt;&gt;""),'0'!$E$29,"")</f>
        <v/>
      </c>
      <c r="H29" s="148" t="str">
        <f>IF(OR(IFERROR('0'!$W$29&gt;=$B$3,FALSE),'0'!$AC$29="Forcée",'0'!$X$29&lt;&gt;"",'0'!$AA$29&lt;&gt;""),'0'!$H$29,"")</f>
        <v/>
      </c>
      <c r="I29" s="148" t="str">
        <f>IF(OR(IFERROR('0'!$W$29&gt;=$B$3,FALSE),'0'!$AC$29="Forcée",'0'!$X$29&lt;&gt;"",'0'!$AA$29&lt;&gt;""),'0'!$W$29,"")</f>
        <v/>
      </c>
      <c r="J29" s="148" t="str">
        <f t="shared" si="0"/>
        <v/>
      </c>
      <c r="K29" s="148" t="str">
        <f>IF(A29="","",IF('0'!$AC$29="Forcée","Forcée",IF('0'!$AC$29="Exclue","Exclue","Automatique")))</f>
        <v/>
      </c>
      <c r="L29" s="148" t="str">
        <f>IF(A29="","",IF('0'!$AC$29="Exclue","Exclu",IF('0'!$W$29&gt;=$B$3,"Actif - risque significatif",IF(AND('0'!$W$29&lt;$B$3,'0'!$AD$29="Oui"),"Maîtrisé / clôturable","Maîtrisé - à vérifier"))))</f>
        <v/>
      </c>
      <c r="M29" s="148" t="str">
        <f>IF(A29="","",IF('0'!$W$29&gt;=16,"P1 - Critique",IF('0'!$W$29&gt;=13,"P2 - Haute",IF('0'!$W$29&gt;=9,"P3 - Moyenne","P4 - Basse"))))</f>
        <v/>
      </c>
      <c r="N29" s="148"/>
      <c r="O29" s="148" t="str">
        <f>IF(A29="","",'0'!$X$29)</f>
        <v/>
      </c>
      <c r="P29" s="148"/>
      <c r="Q29" s="148"/>
      <c r="R29" s="148" t="str">
        <f>IF(A29="","",'0'!$Z$29)</f>
        <v/>
      </c>
      <c r="S29" s="148"/>
      <c r="T29" s="148"/>
      <c r="U29" s="149"/>
      <c r="V29" s="150"/>
      <c r="W29" s="150" t="str">
        <f>IF(A29="","",'0'!$Y$29)</f>
        <v/>
      </c>
      <c r="X29" s="148"/>
      <c r="Y29" s="148"/>
      <c r="Z29" s="148"/>
      <c r="AA29" s="148"/>
      <c r="AB29" s="148" t="str">
        <f>IF(A29="","",'0'!$AA$29)</f>
        <v/>
      </c>
      <c r="AC29" s="148" t="str">
        <f>IF(A29="","",'0'!$AD$29)</f>
        <v/>
      </c>
      <c r="AD29" s="150" t="str">
        <f>IF(A29="","",'0'!$AE$29)</f>
        <v/>
      </c>
      <c r="AE29" s="148"/>
      <c r="AF29" s="148"/>
      <c r="AG29" s="148" t="str">
        <f>IF(A29="","",'0'!$AF$29)</f>
        <v/>
      </c>
      <c r="AH29" s="151" t="str">
        <f t="shared" si="1"/>
        <v/>
      </c>
    </row>
    <row r="30" spans="1:34">
      <c r="A30" s="148" t="str">
        <f>IF(OR(IFERROR('0'!$W$30&gt;=$B$3,FALSE),'0'!$AC$30="Forcée",'0'!$X$30&lt;&gt;"",'0'!$AA$30&lt;&gt;""),"0-30","")</f>
        <v/>
      </c>
      <c r="B30" s="148" t="str">
        <f>IF(OR(IFERROR('0'!$W$30&gt;=$B$3,FALSE),'0'!$AC$30="Forcée",'0'!$X$30&lt;&gt;"",'0'!$AA$30&lt;&gt;""),"0","")</f>
        <v/>
      </c>
      <c r="C30" s="148" t="str">
        <f>IF(OR(IFERROR('0'!$W$30&gt;=$B$3,FALSE),'0'!$AC$30="Forcée",'0'!$X$30&lt;&gt;"",'0'!$AA$30&lt;&gt;""),'0'!$A$30,"")</f>
        <v/>
      </c>
      <c r="D30" s="148" t="str">
        <f>IF(OR(IFERROR('0'!$W$30&gt;=$B$3,FALSE),'0'!$AC$30="Forcée",'0'!$X$30&lt;&gt;"",'0'!$AA$30&lt;&gt;""),'0'!$B$30,"")</f>
        <v/>
      </c>
      <c r="E30" s="148" t="str">
        <f>IF(OR(IFERROR('0'!$W$30&gt;=$B$3,FALSE),'0'!$AC$30="Forcée",'0'!$X$30&lt;&gt;"",'0'!$AA$30&lt;&gt;""),'0'!$C$30,"")</f>
        <v/>
      </c>
      <c r="F30" s="148" t="str">
        <f>IF(OR(IFERROR('0'!$W$30&gt;=$B$3,FALSE),'0'!$AC$30="Forcée",'0'!$X$30&lt;&gt;"",'0'!$AA$30&lt;&gt;""),'0'!$D$30,"")</f>
        <v/>
      </c>
      <c r="G30" s="148" t="str">
        <f>IF(OR(IFERROR('0'!$W$30&gt;=$B$3,FALSE),'0'!$AC$30="Forcée",'0'!$X$30&lt;&gt;"",'0'!$AA$30&lt;&gt;""),'0'!$E$30,"")</f>
        <v/>
      </c>
      <c r="H30" s="148" t="str">
        <f>IF(OR(IFERROR('0'!$W$30&gt;=$B$3,FALSE),'0'!$AC$30="Forcée",'0'!$X$30&lt;&gt;"",'0'!$AA$30&lt;&gt;""),'0'!$H$30,"")</f>
        <v/>
      </c>
      <c r="I30" s="148" t="str">
        <f>IF(OR(IFERROR('0'!$W$30&gt;=$B$3,FALSE),'0'!$AC$30="Forcée",'0'!$X$30&lt;&gt;"",'0'!$AA$30&lt;&gt;""),'0'!$W$30,"")</f>
        <v/>
      </c>
      <c r="J30" s="148" t="str">
        <f t="shared" si="0"/>
        <v/>
      </c>
      <c r="K30" s="148" t="str">
        <f>IF(A30="","",IF('0'!$AC$30="Forcée","Forcée",IF('0'!$AC$30="Exclue","Exclue","Automatique")))</f>
        <v/>
      </c>
      <c r="L30" s="148" t="str">
        <f>IF(A30="","",IF('0'!$AC$30="Exclue","Exclu",IF('0'!$W$30&gt;=$B$3,"Actif - risque significatif",IF(AND('0'!$W$30&lt;$B$3,'0'!$AD$30="Oui"),"Maîtrisé / clôturable","Maîtrisé - à vérifier"))))</f>
        <v/>
      </c>
      <c r="M30" s="148" t="str">
        <f>IF(A30="","",IF('0'!$W$30&gt;=16,"P1 - Critique",IF('0'!$W$30&gt;=13,"P2 - Haute",IF('0'!$W$30&gt;=9,"P3 - Moyenne","P4 - Basse"))))</f>
        <v/>
      </c>
      <c r="N30" s="148"/>
      <c r="O30" s="148" t="str">
        <f>IF(A30="","",'0'!$X$30)</f>
        <v/>
      </c>
      <c r="P30" s="148"/>
      <c r="Q30" s="148"/>
      <c r="R30" s="148" t="str">
        <f>IF(A30="","",'0'!$Z$30)</f>
        <v/>
      </c>
      <c r="S30" s="148"/>
      <c r="T30" s="148"/>
      <c r="U30" s="149"/>
      <c r="V30" s="150"/>
      <c r="W30" s="150" t="str">
        <f>IF(A30="","",'0'!$Y$30)</f>
        <v/>
      </c>
      <c r="X30" s="148"/>
      <c r="Y30" s="148"/>
      <c r="Z30" s="148"/>
      <c r="AA30" s="148"/>
      <c r="AB30" s="148" t="str">
        <f>IF(A30="","",'0'!$AA$30)</f>
        <v/>
      </c>
      <c r="AC30" s="148" t="str">
        <f>IF(A30="","",'0'!$AD$30)</f>
        <v/>
      </c>
      <c r="AD30" s="150" t="str">
        <f>IF(A30="","",'0'!$AE$30)</f>
        <v/>
      </c>
      <c r="AE30" s="148"/>
      <c r="AF30" s="148"/>
      <c r="AG30" s="148" t="str">
        <f>IF(A30="","",'0'!$AF$30)</f>
        <v/>
      </c>
      <c r="AH30" s="151" t="str">
        <f t="shared" si="1"/>
        <v/>
      </c>
    </row>
    <row r="31" spans="1:34">
      <c r="A31" s="148" t="str">
        <f>IF(OR(IFERROR('0'!$W$31&gt;=$B$3,FALSE),'0'!$AC$31="Forcée",'0'!$X$31&lt;&gt;"",'0'!$AA$31&lt;&gt;""),"0-31","")</f>
        <v/>
      </c>
      <c r="B31" s="148" t="str">
        <f>IF(OR(IFERROR('0'!$W$31&gt;=$B$3,FALSE),'0'!$AC$31="Forcée",'0'!$X$31&lt;&gt;"",'0'!$AA$31&lt;&gt;""),"0","")</f>
        <v/>
      </c>
      <c r="C31" s="148" t="str">
        <f>IF(OR(IFERROR('0'!$W$31&gt;=$B$3,FALSE),'0'!$AC$31="Forcée",'0'!$X$31&lt;&gt;"",'0'!$AA$31&lt;&gt;""),'0'!$A$31,"")</f>
        <v/>
      </c>
      <c r="D31" s="148" t="str">
        <f>IF(OR(IFERROR('0'!$W$31&gt;=$B$3,FALSE),'0'!$AC$31="Forcée",'0'!$X$31&lt;&gt;"",'0'!$AA$31&lt;&gt;""),'0'!$B$31,"")</f>
        <v/>
      </c>
      <c r="E31" s="148" t="str">
        <f>IF(OR(IFERROR('0'!$W$31&gt;=$B$3,FALSE),'0'!$AC$31="Forcée",'0'!$X$31&lt;&gt;"",'0'!$AA$31&lt;&gt;""),'0'!$C$31,"")</f>
        <v/>
      </c>
      <c r="F31" s="148" t="str">
        <f>IF(OR(IFERROR('0'!$W$31&gt;=$B$3,FALSE),'0'!$AC$31="Forcée",'0'!$X$31&lt;&gt;"",'0'!$AA$31&lt;&gt;""),'0'!$D$31,"")</f>
        <v/>
      </c>
      <c r="G31" s="148" t="str">
        <f>IF(OR(IFERROR('0'!$W$31&gt;=$B$3,FALSE),'0'!$AC$31="Forcée",'0'!$X$31&lt;&gt;"",'0'!$AA$31&lt;&gt;""),'0'!$E$31,"")</f>
        <v/>
      </c>
      <c r="H31" s="148" t="str">
        <f>IF(OR(IFERROR('0'!$W$31&gt;=$B$3,FALSE),'0'!$AC$31="Forcée",'0'!$X$31&lt;&gt;"",'0'!$AA$31&lt;&gt;""),'0'!$H$31,"")</f>
        <v/>
      </c>
      <c r="I31" s="148" t="str">
        <f>IF(OR(IFERROR('0'!$W$31&gt;=$B$3,FALSE),'0'!$AC$31="Forcée",'0'!$X$31&lt;&gt;"",'0'!$AA$31&lt;&gt;""),'0'!$W$31,"")</f>
        <v/>
      </c>
      <c r="J31" s="148" t="str">
        <f t="shared" si="0"/>
        <v/>
      </c>
      <c r="K31" s="148" t="str">
        <f>IF(A31="","",IF('0'!$AC$31="Forcée","Forcée",IF('0'!$AC$31="Exclue","Exclue","Automatique")))</f>
        <v/>
      </c>
      <c r="L31" s="148" t="str">
        <f>IF(A31="","",IF('0'!$AC$31="Exclue","Exclu",IF('0'!$W$31&gt;=$B$3,"Actif - risque significatif",IF(AND('0'!$W$31&lt;$B$3,'0'!$AD$31="Oui"),"Maîtrisé / clôturable","Maîtrisé - à vérifier"))))</f>
        <v/>
      </c>
      <c r="M31" s="148" t="str">
        <f>IF(A31="","",IF('0'!$W$31&gt;=16,"P1 - Critique",IF('0'!$W$31&gt;=13,"P2 - Haute",IF('0'!$W$31&gt;=9,"P3 - Moyenne","P4 - Basse"))))</f>
        <v/>
      </c>
      <c r="N31" s="148"/>
      <c r="O31" s="148" t="str">
        <f>IF(A31="","",'0'!$X$31)</f>
        <v/>
      </c>
      <c r="P31" s="148"/>
      <c r="Q31" s="148"/>
      <c r="R31" s="148" t="str">
        <f>IF(A31="","",'0'!$Z$31)</f>
        <v/>
      </c>
      <c r="S31" s="148"/>
      <c r="T31" s="148"/>
      <c r="U31" s="149"/>
      <c r="V31" s="150"/>
      <c r="W31" s="150" t="str">
        <f>IF(A31="","",'0'!$Y$31)</f>
        <v/>
      </c>
      <c r="X31" s="148"/>
      <c r="Y31" s="148"/>
      <c r="Z31" s="148"/>
      <c r="AA31" s="148"/>
      <c r="AB31" s="148" t="str">
        <f>IF(A31="","",'0'!$AA$31)</f>
        <v/>
      </c>
      <c r="AC31" s="148" t="str">
        <f>IF(A31="","",'0'!$AD$31)</f>
        <v/>
      </c>
      <c r="AD31" s="150" t="str">
        <f>IF(A31="","",'0'!$AE$31)</f>
        <v/>
      </c>
      <c r="AE31" s="148"/>
      <c r="AF31" s="148"/>
      <c r="AG31" s="148" t="str">
        <f>IF(A31="","",'0'!$AF$31)</f>
        <v/>
      </c>
      <c r="AH31" s="151" t="str">
        <f t="shared" si="1"/>
        <v/>
      </c>
    </row>
    <row r="32" spans="1:34">
      <c r="A32" s="148" t="str">
        <f>IF(OR(IFERROR('0'!$W$32&gt;=$B$3,FALSE),'0'!$AC$32="Forcée",'0'!$X$32&lt;&gt;"",'0'!$AA$32&lt;&gt;""),"0-32","")</f>
        <v/>
      </c>
      <c r="B32" s="148" t="str">
        <f>IF(OR(IFERROR('0'!$W$32&gt;=$B$3,FALSE),'0'!$AC$32="Forcée",'0'!$X$32&lt;&gt;"",'0'!$AA$32&lt;&gt;""),"0","")</f>
        <v/>
      </c>
      <c r="C32" s="148" t="str">
        <f>IF(OR(IFERROR('0'!$W$32&gt;=$B$3,FALSE),'0'!$AC$32="Forcée",'0'!$X$32&lt;&gt;"",'0'!$AA$32&lt;&gt;""),'0'!$A$32,"")</f>
        <v/>
      </c>
      <c r="D32" s="148" t="str">
        <f>IF(OR(IFERROR('0'!$W$32&gt;=$B$3,FALSE),'0'!$AC$32="Forcée",'0'!$X$32&lt;&gt;"",'0'!$AA$32&lt;&gt;""),'0'!$B$32,"")</f>
        <v/>
      </c>
      <c r="E32" s="148" t="str">
        <f>IF(OR(IFERROR('0'!$W$32&gt;=$B$3,FALSE),'0'!$AC$32="Forcée",'0'!$X$32&lt;&gt;"",'0'!$AA$32&lt;&gt;""),'0'!$C$32,"")</f>
        <v/>
      </c>
      <c r="F32" s="148" t="str">
        <f>IF(OR(IFERROR('0'!$W$32&gt;=$B$3,FALSE),'0'!$AC$32="Forcée",'0'!$X$32&lt;&gt;"",'0'!$AA$32&lt;&gt;""),'0'!$D$32,"")</f>
        <v/>
      </c>
      <c r="G32" s="148" t="str">
        <f>IF(OR(IFERROR('0'!$W$32&gt;=$B$3,FALSE),'0'!$AC$32="Forcée",'0'!$X$32&lt;&gt;"",'0'!$AA$32&lt;&gt;""),'0'!$E$32,"")</f>
        <v/>
      </c>
      <c r="H32" s="148" t="str">
        <f>IF(OR(IFERROR('0'!$W$32&gt;=$B$3,FALSE),'0'!$AC$32="Forcée",'0'!$X$32&lt;&gt;"",'0'!$AA$32&lt;&gt;""),'0'!$H$32,"")</f>
        <v/>
      </c>
      <c r="I32" s="148" t="str">
        <f>IF(OR(IFERROR('0'!$W$32&gt;=$B$3,FALSE),'0'!$AC$32="Forcée",'0'!$X$32&lt;&gt;"",'0'!$AA$32&lt;&gt;""),'0'!$W$32,"")</f>
        <v/>
      </c>
      <c r="J32" s="148" t="str">
        <f t="shared" si="0"/>
        <v/>
      </c>
      <c r="K32" s="148" t="str">
        <f>IF(A32="","",IF('0'!$AC$32="Forcée","Forcée",IF('0'!$AC$32="Exclue","Exclue","Automatique")))</f>
        <v/>
      </c>
      <c r="L32" s="148" t="str">
        <f>IF(A32="","",IF('0'!$AC$32="Exclue","Exclu",IF('0'!$W$32&gt;=$B$3,"Actif - risque significatif",IF(AND('0'!$W$32&lt;$B$3,'0'!$AD$32="Oui"),"Maîtrisé / clôturable","Maîtrisé - à vérifier"))))</f>
        <v/>
      </c>
      <c r="M32" s="148" t="str">
        <f>IF(A32="","",IF('0'!$W$32&gt;=16,"P1 - Critique",IF('0'!$W$32&gt;=13,"P2 - Haute",IF('0'!$W$32&gt;=9,"P3 - Moyenne","P4 - Basse"))))</f>
        <v/>
      </c>
      <c r="N32" s="148"/>
      <c r="O32" s="148" t="str">
        <f>IF(A32="","",'0'!$X$32)</f>
        <v/>
      </c>
      <c r="P32" s="148"/>
      <c r="Q32" s="148"/>
      <c r="R32" s="148" t="str">
        <f>IF(A32="","",'0'!$Z$32)</f>
        <v/>
      </c>
      <c r="S32" s="148"/>
      <c r="T32" s="148"/>
      <c r="U32" s="149"/>
      <c r="V32" s="150"/>
      <c r="W32" s="150" t="str">
        <f>IF(A32="","",'0'!$Y$32)</f>
        <v/>
      </c>
      <c r="X32" s="148"/>
      <c r="Y32" s="148"/>
      <c r="Z32" s="148"/>
      <c r="AA32" s="148"/>
      <c r="AB32" s="148" t="str">
        <f>IF(A32="","",'0'!$AA$32)</f>
        <v/>
      </c>
      <c r="AC32" s="148" t="str">
        <f>IF(A32="","",'0'!$AD$32)</f>
        <v/>
      </c>
      <c r="AD32" s="150" t="str">
        <f>IF(A32="","",'0'!$AE$32)</f>
        <v/>
      </c>
      <c r="AE32" s="148"/>
      <c r="AF32" s="148"/>
      <c r="AG32" s="148" t="str">
        <f>IF(A32="","",'0'!$AF$32)</f>
        <v/>
      </c>
      <c r="AH32" s="151" t="str">
        <f t="shared" si="1"/>
        <v/>
      </c>
    </row>
    <row r="33" spans="1:34">
      <c r="A33" s="148" t="str">
        <f>IF(OR(IFERROR('0'!$W$33&gt;=$B$3,FALSE),'0'!$AC$33="Forcée",'0'!$X$33&lt;&gt;"",'0'!$AA$33&lt;&gt;""),"0-33","")</f>
        <v/>
      </c>
      <c r="B33" s="148" t="str">
        <f>IF(OR(IFERROR('0'!$W$33&gt;=$B$3,FALSE),'0'!$AC$33="Forcée",'0'!$X$33&lt;&gt;"",'0'!$AA$33&lt;&gt;""),"0","")</f>
        <v/>
      </c>
      <c r="C33" s="148" t="str">
        <f>IF(OR(IFERROR('0'!$W$33&gt;=$B$3,FALSE),'0'!$AC$33="Forcée",'0'!$X$33&lt;&gt;"",'0'!$AA$33&lt;&gt;""),'0'!$A$33,"")</f>
        <v/>
      </c>
      <c r="D33" s="148" t="str">
        <f>IF(OR(IFERROR('0'!$W$33&gt;=$B$3,FALSE),'0'!$AC$33="Forcée",'0'!$X$33&lt;&gt;"",'0'!$AA$33&lt;&gt;""),'0'!$B$33,"")</f>
        <v/>
      </c>
      <c r="E33" s="148" t="str">
        <f>IF(OR(IFERROR('0'!$W$33&gt;=$B$3,FALSE),'0'!$AC$33="Forcée",'0'!$X$33&lt;&gt;"",'0'!$AA$33&lt;&gt;""),'0'!$C$33,"")</f>
        <v/>
      </c>
      <c r="F33" s="148" t="str">
        <f>IF(OR(IFERROR('0'!$W$33&gt;=$B$3,FALSE),'0'!$AC$33="Forcée",'0'!$X$33&lt;&gt;"",'0'!$AA$33&lt;&gt;""),'0'!$D$33,"")</f>
        <v/>
      </c>
      <c r="G33" s="148" t="str">
        <f>IF(OR(IFERROR('0'!$W$33&gt;=$B$3,FALSE),'0'!$AC$33="Forcée",'0'!$X$33&lt;&gt;"",'0'!$AA$33&lt;&gt;""),'0'!$E$33,"")</f>
        <v/>
      </c>
      <c r="H33" s="148" t="str">
        <f>IF(OR(IFERROR('0'!$W$33&gt;=$B$3,FALSE),'0'!$AC$33="Forcée",'0'!$X$33&lt;&gt;"",'0'!$AA$33&lt;&gt;""),'0'!$H$33,"")</f>
        <v/>
      </c>
      <c r="I33" s="148" t="str">
        <f>IF(OR(IFERROR('0'!$W$33&gt;=$B$3,FALSE),'0'!$AC$33="Forcée",'0'!$X$33&lt;&gt;"",'0'!$AA$33&lt;&gt;""),'0'!$W$33,"")</f>
        <v/>
      </c>
      <c r="J33" s="148" t="str">
        <f t="shared" si="0"/>
        <v/>
      </c>
      <c r="K33" s="148" t="str">
        <f>IF(A33="","",IF('0'!$AC$33="Forcée","Forcée",IF('0'!$AC$33="Exclue","Exclue","Automatique")))</f>
        <v/>
      </c>
      <c r="L33" s="148" t="str">
        <f>IF(A33="","",IF('0'!$AC$33="Exclue","Exclu",IF('0'!$W$33&gt;=$B$3,"Actif - risque significatif",IF(AND('0'!$W$33&lt;$B$3,'0'!$AD$33="Oui"),"Maîtrisé / clôturable","Maîtrisé - à vérifier"))))</f>
        <v/>
      </c>
      <c r="M33" s="148" t="str">
        <f>IF(A33="","",IF('0'!$W$33&gt;=16,"P1 - Critique",IF('0'!$W$33&gt;=13,"P2 - Haute",IF('0'!$W$33&gt;=9,"P3 - Moyenne","P4 - Basse"))))</f>
        <v/>
      </c>
      <c r="N33" s="148"/>
      <c r="O33" s="148" t="str">
        <f>IF(A33="","",'0'!$X$33)</f>
        <v/>
      </c>
      <c r="P33" s="148"/>
      <c r="Q33" s="148"/>
      <c r="R33" s="148" t="str">
        <f>IF(A33="","",'0'!$Z$33)</f>
        <v/>
      </c>
      <c r="S33" s="148"/>
      <c r="T33" s="148"/>
      <c r="U33" s="149"/>
      <c r="V33" s="150"/>
      <c r="W33" s="150" t="str">
        <f>IF(A33="","",'0'!$Y$33)</f>
        <v/>
      </c>
      <c r="X33" s="148"/>
      <c r="Y33" s="148"/>
      <c r="Z33" s="148"/>
      <c r="AA33" s="148"/>
      <c r="AB33" s="148" t="str">
        <f>IF(A33="","",'0'!$AA$33)</f>
        <v/>
      </c>
      <c r="AC33" s="148" t="str">
        <f>IF(A33="","",'0'!$AD$33)</f>
        <v/>
      </c>
      <c r="AD33" s="150" t="str">
        <f>IF(A33="","",'0'!$AE$33)</f>
        <v/>
      </c>
      <c r="AE33" s="148"/>
      <c r="AF33" s="148"/>
      <c r="AG33" s="148" t="str">
        <f>IF(A33="","",'0'!$AF$33)</f>
        <v/>
      </c>
      <c r="AH33" s="151" t="str">
        <f t="shared" si="1"/>
        <v/>
      </c>
    </row>
    <row r="34" spans="1:34">
      <c r="A34" s="148" t="str">
        <f>IF(OR(IFERROR('0'!$W$34&gt;=$B$3,FALSE),'0'!$AC$34="Forcée",'0'!$X$34&lt;&gt;"",'0'!$AA$34&lt;&gt;""),"0-34","")</f>
        <v/>
      </c>
      <c r="B34" s="148" t="str">
        <f>IF(OR(IFERROR('0'!$W$34&gt;=$B$3,FALSE),'0'!$AC$34="Forcée",'0'!$X$34&lt;&gt;"",'0'!$AA$34&lt;&gt;""),"0","")</f>
        <v/>
      </c>
      <c r="C34" s="148" t="str">
        <f>IF(OR(IFERROR('0'!$W$34&gt;=$B$3,FALSE),'0'!$AC$34="Forcée",'0'!$X$34&lt;&gt;"",'0'!$AA$34&lt;&gt;""),'0'!$A$34,"")</f>
        <v/>
      </c>
      <c r="D34" s="148" t="str">
        <f>IF(OR(IFERROR('0'!$W$34&gt;=$B$3,FALSE),'0'!$AC$34="Forcée",'0'!$X$34&lt;&gt;"",'0'!$AA$34&lt;&gt;""),'0'!$B$34,"")</f>
        <v/>
      </c>
      <c r="E34" s="148" t="str">
        <f>IF(OR(IFERROR('0'!$W$34&gt;=$B$3,FALSE),'0'!$AC$34="Forcée",'0'!$X$34&lt;&gt;"",'0'!$AA$34&lt;&gt;""),'0'!$C$34,"")</f>
        <v/>
      </c>
      <c r="F34" s="148" t="str">
        <f>IF(OR(IFERROR('0'!$W$34&gt;=$B$3,FALSE),'0'!$AC$34="Forcée",'0'!$X$34&lt;&gt;"",'0'!$AA$34&lt;&gt;""),'0'!$D$34,"")</f>
        <v/>
      </c>
      <c r="G34" s="148" t="str">
        <f>IF(OR(IFERROR('0'!$W$34&gt;=$B$3,FALSE),'0'!$AC$34="Forcée",'0'!$X$34&lt;&gt;"",'0'!$AA$34&lt;&gt;""),'0'!$E$34,"")</f>
        <v/>
      </c>
      <c r="H34" s="148" t="str">
        <f>IF(OR(IFERROR('0'!$W$34&gt;=$B$3,FALSE),'0'!$AC$34="Forcée",'0'!$X$34&lt;&gt;"",'0'!$AA$34&lt;&gt;""),'0'!$H$34,"")</f>
        <v/>
      </c>
      <c r="I34" s="148" t="str">
        <f>IF(OR(IFERROR('0'!$W$34&gt;=$B$3,FALSE),'0'!$AC$34="Forcée",'0'!$X$34&lt;&gt;"",'0'!$AA$34&lt;&gt;""),'0'!$W$34,"")</f>
        <v/>
      </c>
      <c r="J34" s="148" t="str">
        <f t="shared" si="0"/>
        <v/>
      </c>
      <c r="K34" s="148" t="str">
        <f>IF(A34="","",IF('0'!$AC$34="Forcée","Forcée",IF('0'!$AC$34="Exclue","Exclue","Automatique")))</f>
        <v/>
      </c>
      <c r="L34" s="148" t="str">
        <f>IF(A34="","",IF('0'!$AC$34="Exclue","Exclu",IF('0'!$W$34&gt;=$B$3,"Actif - risque significatif",IF(AND('0'!$W$34&lt;$B$3,'0'!$AD$34="Oui"),"Maîtrisé / clôturable","Maîtrisé - à vérifier"))))</f>
        <v/>
      </c>
      <c r="M34" s="148" t="str">
        <f>IF(A34="","",IF('0'!$W$34&gt;=16,"P1 - Critique",IF('0'!$W$34&gt;=13,"P2 - Haute",IF('0'!$W$34&gt;=9,"P3 - Moyenne","P4 - Basse"))))</f>
        <v/>
      </c>
      <c r="N34" s="148"/>
      <c r="O34" s="148" t="str">
        <f>IF(A34="","",'0'!$X$34)</f>
        <v/>
      </c>
      <c r="P34" s="148"/>
      <c r="Q34" s="148"/>
      <c r="R34" s="148" t="str">
        <f>IF(A34="","",'0'!$Z$34)</f>
        <v/>
      </c>
      <c r="S34" s="148"/>
      <c r="T34" s="148"/>
      <c r="U34" s="149"/>
      <c r="V34" s="150"/>
      <c r="W34" s="150" t="str">
        <f>IF(A34="","",'0'!$Y$34)</f>
        <v/>
      </c>
      <c r="X34" s="148"/>
      <c r="Y34" s="148"/>
      <c r="Z34" s="148"/>
      <c r="AA34" s="148"/>
      <c r="AB34" s="148" t="str">
        <f>IF(A34="","",'0'!$AA$34)</f>
        <v/>
      </c>
      <c r="AC34" s="148" t="str">
        <f>IF(A34="","",'0'!$AD$34)</f>
        <v/>
      </c>
      <c r="AD34" s="150" t="str">
        <f>IF(A34="","",'0'!$AE$34)</f>
        <v/>
      </c>
      <c r="AE34" s="148"/>
      <c r="AF34" s="148"/>
      <c r="AG34" s="148" t="str">
        <f>IF(A34="","",'0'!$AF$34)</f>
        <v/>
      </c>
      <c r="AH34" s="151" t="str">
        <f t="shared" si="1"/>
        <v/>
      </c>
    </row>
    <row r="35" spans="1:34">
      <c r="A35" s="148" t="str">
        <f>IF(OR(IFERROR('0'!$W$35&gt;=$B$3,FALSE),'0'!$AC$35="Forcée",'0'!$X$35&lt;&gt;"",'0'!$AA$35&lt;&gt;""),"0-35","")</f>
        <v/>
      </c>
      <c r="B35" s="148" t="str">
        <f>IF(OR(IFERROR('0'!$W$35&gt;=$B$3,FALSE),'0'!$AC$35="Forcée",'0'!$X$35&lt;&gt;"",'0'!$AA$35&lt;&gt;""),"0","")</f>
        <v/>
      </c>
      <c r="C35" s="148" t="str">
        <f>IF(OR(IFERROR('0'!$W$35&gt;=$B$3,FALSE),'0'!$AC$35="Forcée",'0'!$X$35&lt;&gt;"",'0'!$AA$35&lt;&gt;""),'0'!$A$35,"")</f>
        <v/>
      </c>
      <c r="D35" s="148" t="str">
        <f>IF(OR(IFERROR('0'!$W$35&gt;=$B$3,FALSE),'0'!$AC$35="Forcée",'0'!$X$35&lt;&gt;"",'0'!$AA$35&lt;&gt;""),'0'!$B$35,"")</f>
        <v/>
      </c>
      <c r="E35" s="148" t="str">
        <f>IF(OR(IFERROR('0'!$W$35&gt;=$B$3,FALSE),'0'!$AC$35="Forcée",'0'!$X$35&lt;&gt;"",'0'!$AA$35&lt;&gt;""),'0'!$C$35,"")</f>
        <v/>
      </c>
      <c r="F35" s="148" t="str">
        <f>IF(OR(IFERROR('0'!$W$35&gt;=$B$3,FALSE),'0'!$AC$35="Forcée",'0'!$X$35&lt;&gt;"",'0'!$AA$35&lt;&gt;""),'0'!$D$35,"")</f>
        <v/>
      </c>
      <c r="G35" s="148" t="str">
        <f>IF(OR(IFERROR('0'!$W$35&gt;=$B$3,FALSE),'0'!$AC$35="Forcée",'0'!$X$35&lt;&gt;"",'0'!$AA$35&lt;&gt;""),'0'!$E$35,"")</f>
        <v/>
      </c>
      <c r="H35" s="148" t="str">
        <f>IF(OR(IFERROR('0'!$W$35&gt;=$B$3,FALSE),'0'!$AC$35="Forcée",'0'!$X$35&lt;&gt;"",'0'!$AA$35&lt;&gt;""),'0'!$H$35,"")</f>
        <v/>
      </c>
      <c r="I35" s="148" t="str">
        <f>IF(OR(IFERROR('0'!$W$35&gt;=$B$3,FALSE),'0'!$AC$35="Forcée",'0'!$X$35&lt;&gt;"",'0'!$AA$35&lt;&gt;""),'0'!$W$35,"")</f>
        <v/>
      </c>
      <c r="J35" s="148" t="str">
        <f t="shared" si="0"/>
        <v/>
      </c>
      <c r="K35" s="148" t="str">
        <f>IF(A35="","",IF('0'!$AC$35="Forcée","Forcée",IF('0'!$AC$35="Exclue","Exclue","Automatique")))</f>
        <v/>
      </c>
      <c r="L35" s="148" t="str">
        <f>IF(A35="","",IF('0'!$AC$35="Exclue","Exclu",IF('0'!$W$35&gt;=$B$3,"Actif - risque significatif",IF(AND('0'!$W$35&lt;$B$3,'0'!$AD$35="Oui"),"Maîtrisé / clôturable","Maîtrisé - à vérifier"))))</f>
        <v/>
      </c>
      <c r="M35" s="148" t="str">
        <f>IF(A35="","",IF('0'!$W$35&gt;=16,"P1 - Critique",IF('0'!$W$35&gt;=13,"P2 - Haute",IF('0'!$W$35&gt;=9,"P3 - Moyenne","P4 - Basse"))))</f>
        <v/>
      </c>
      <c r="N35" s="148"/>
      <c r="O35" s="148" t="str">
        <f>IF(A35="","",'0'!$X$35)</f>
        <v/>
      </c>
      <c r="P35" s="148"/>
      <c r="Q35" s="148"/>
      <c r="R35" s="148" t="str">
        <f>IF(A35="","",'0'!$Z$35)</f>
        <v/>
      </c>
      <c r="S35" s="148"/>
      <c r="T35" s="148"/>
      <c r="U35" s="149"/>
      <c r="V35" s="150"/>
      <c r="W35" s="150" t="str">
        <f>IF(A35="","",'0'!$Y$35)</f>
        <v/>
      </c>
      <c r="X35" s="148"/>
      <c r="Y35" s="148"/>
      <c r="Z35" s="148"/>
      <c r="AA35" s="148"/>
      <c r="AB35" s="148" t="str">
        <f>IF(A35="","",'0'!$AA$35)</f>
        <v/>
      </c>
      <c r="AC35" s="148" t="str">
        <f>IF(A35="","",'0'!$AD$35)</f>
        <v/>
      </c>
      <c r="AD35" s="150" t="str">
        <f>IF(A35="","",'0'!$AE$35)</f>
        <v/>
      </c>
      <c r="AE35" s="148"/>
      <c r="AF35" s="148"/>
      <c r="AG35" s="148" t="str">
        <f>IF(A35="","",'0'!$AF$35)</f>
        <v/>
      </c>
      <c r="AH35" s="151" t="str">
        <f t="shared" si="1"/>
        <v/>
      </c>
    </row>
    <row r="36" spans="1:34">
      <c r="A36" s="148" t="str">
        <f>IF(OR(IFERROR('0'!$W$36&gt;=$B$3,FALSE),'0'!$AC$36="Forcée",'0'!$X$36&lt;&gt;"",'0'!$AA$36&lt;&gt;""),"0-36","")</f>
        <v/>
      </c>
      <c r="B36" s="148" t="str">
        <f>IF(OR(IFERROR('0'!$W$36&gt;=$B$3,FALSE),'0'!$AC$36="Forcée",'0'!$X$36&lt;&gt;"",'0'!$AA$36&lt;&gt;""),"0","")</f>
        <v/>
      </c>
      <c r="C36" s="148" t="str">
        <f>IF(OR(IFERROR('0'!$W$36&gt;=$B$3,FALSE),'0'!$AC$36="Forcée",'0'!$X$36&lt;&gt;"",'0'!$AA$36&lt;&gt;""),'0'!$A$36,"")</f>
        <v/>
      </c>
      <c r="D36" s="148" t="str">
        <f>IF(OR(IFERROR('0'!$W$36&gt;=$B$3,FALSE),'0'!$AC$36="Forcée",'0'!$X$36&lt;&gt;"",'0'!$AA$36&lt;&gt;""),'0'!$B$36,"")</f>
        <v/>
      </c>
      <c r="E36" s="148" t="str">
        <f>IF(OR(IFERROR('0'!$W$36&gt;=$B$3,FALSE),'0'!$AC$36="Forcée",'0'!$X$36&lt;&gt;"",'0'!$AA$36&lt;&gt;""),'0'!$C$36,"")</f>
        <v/>
      </c>
      <c r="F36" s="148" t="str">
        <f>IF(OR(IFERROR('0'!$W$36&gt;=$B$3,FALSE),'0'!$AC$36="Forcée",'0'!$X$36&lt;&gt;"",'0'!$AA$36&lt;&gt;""),'0'!$D$36,"")</f>
        <v/>
      </c>
      <c r="G36" s="148" t="str">
        <f>IF(OR(IFERROR('0'!$W$36&gt;=$B$3,FALSE),'0'!$AC$36="Forcée",'0'!$X$36&lt;&gt;"",'0'!$AA$36&lt;&gt;""),'0'!$E$36,"")</f>
        <v/>
      </c>
      <c r="H36" s="148" t="str">
        <f>IF(OR(IFERROR('0'!$W$36&gt;=$B$3,FALSE),'0'!$AC$36="Forcée",'0'!$X$36&lt;&gt;"",'0'!$AA$36&lt;&gt;""),'0'!$H$36,"")</f>
        <v/>
      </c>
      <c r="I36" s="148" t="str">
        <f>IF(OR(IFERROR('0'!$W$36&gt;=$B$3,FALSE),'0'!$AC$36="Forcée",'0'!$X$36&lt;&gt;"",'0'!$AA$36&lt;&gt;""),'0'!$W$36,"")</f>
        <v/>
      </c>
      <c r="J36" s="148" t="str">
        <f t="shared" si="0"/>
        <v/>
      </c>
      <c r="K36" s="148" t="str">
        <f>IF(A36="","",IF('0'!$AC$36="Forcée","Forcée",IF('0'!$AC$36="Exclue","Exclue","Automatique")))</f>
        <v/>
      </c>
      <c r="L36" s="148" t="str">
        <f>IF(A36="","",IF('0'!$AC$36="Exclue","Exclu",IF('0'!$W$36&gt;=$B$3,"Actif - risque significatif",IF(AND('0'!$W$36&lt;$B$3,'0'!$AD$36="Oui"),"Maîtrisé / clôturable","Maîtrisé - à vérifier"))))</f>
        <v/>
      </c>
      <c r="M36" s="148" t="str">
        <f>IF(A36="","",IF('0'!$W$36&gt;=16,"P1 - Critique",IF('0'!$W$36&gt;=13,"P2 - Haute",IF('0'!$W$36&gt;=9,"P3 - Moyenne","P4 - Basse"))))</f>
        <v/>
      </c>
      <c r="N36" s="148"/>
      <c r="O36" s="148" t="str">
        <f>IF(A36="","",'0'!$X$36)</f>
        <v/>
      </c>
      <c r="P36" s="148"/>
      <c r="Q36" s="148"/>
      <c r="R36" s="148" t="str">
        <f>IF(A36="","",'0'!$Z$36)</f>
        <v/>
      </c>
      <c r="S36" s="148"/>
      <c r="T36" s="148"/>
      <c r="U36" s="149"/>
      <c r="V36" s="150"/>
      <c r="W36" s="150" t="str">
        <f>IF(A36="","",'0'!$Y$36)</f>
        <v/>
      </c>
      <c r="X36" s="148"/>
      <c r="Y36" s="148"/>
      <c r="Z36" s="148"/>
      <c r="AA36" s="148"/>
      <c r="AB36" s="148" t="str">
        <f>IF(A36="","",'0'!$AA$36)</f>
        <v/>
      </c>
      <c r="AC36" s="148" t="str">
        <f>IF(A36="","",'0'!$AD$36)</f>
        <v/>
      </c>
      <c r="AD36" s="150" t="str">
        <f>IF(A36="","",'0'!$AE$36)</f>
        <v/>
      </c>
      <c r="AE36" s="148"/>
      <c r="AF36" s="148"/>
      <c r="AG36" s="148" t="str">
        <f>IF(A36="","",'0'!$AF$36)</f>
        <v/>
      </c>
      <c r="AH36" s="151" t="str">
        <f t="shared" si="1"/>
        <v/>
      </c>
    </row>
    <row r="37" spans="1:34">
      <c r="A37" s="148" t="str">
        <f>IF(OR(IFERROR('0'!$W$37&gt;=$B$3,FALSE),'0'!$AC$37="Forcée",'0'!$X$37&lt;&gt;"",'0'!$AA$37&lt;&gt;""),"0-37","")</f>
        <v/>
      </c>
      <c r="B37" s="148" t="str">
        <f>IF(OR(IFERROR('0'!$W$37&gt;=$B$3,FALSE),'0'!$AC$37="Forcée",'0'!$X$37&lt;&gt;"",'0'!$AA$37&lt;&gt;""),"0","")</f>
        <v/>
      </c>
      <c r="C37" s="148" t="str">
        <f>IF(OR(IFERROR('0'!$W$37&gt;=$B$3,FALSE),'0'!$AC$37="Forcée",'0'!$X$37&lt;&gt;"",'0'!$AA$37&lt;&gt;""),'0'!$A$37,"")</f>
        <v/>
      </c>
      <c r="D37" s="148" t="str">
        <f>IF(OR(IFERROR('0'!$W$37&gt;=$B$3,FALSE),'0'!$AC$37="Forcée",'0'!$X$37&lt;&gt;"",'0'!$AA$37&lt;&gt;""),'0'!$B$37,"")</f>
        <v/>
      </c>
      <c r="E37" s="148" t="str">
        <f>IF(OR(IFERROR('0'!$W$37&gt;=$B$3,FALSE),'0'!$AC$37="Forcée",'0'!$X$37&lt;&gt;"",'0'!$AA$37&lt;&gt;""),'0'!$C$37,"")</f>
        <v/>
      </c>
      <c r="F37" s="148" t="str">
        <f>IF(OR(IFERROR('0'!$W$37&gt;=$B$3,FALSE),'0'!$AC$37="Forcée",'0'!$X$37&lt;&gt;"",'0'!$AA$37&lt;&gt;""),'0'!$D$37,"")</f>
        <v/>
      </c>
      <c r="G37" s="148" t="str">
        <f>IF(OR(IFERROR('0'!$W$37&gt;=$B$3,FALSE),'0'!$AC$37="Forcée",'0'!$X$37&lt;&gt;"",'0'!$AA$37&lt;&gt;""),'0'!$E$37,"")</f>
        <v/>
      </c>
      <c r="H37" s="148" t="str">
        <f>IF(OR(IFERROR('0'!$W$37&gt;=$B$3,FALSE),'0'!$AC$37="Forcée",'0'!$X$37&lt;&gt;"",'0'!$AA$37&lt;&gt;""),'0'!$H$37,"")</f>
        <v/>
      </c>
      <c r="I37" s="148" t="str">
        <f>IF(OR(IFERROR('0'!$W$37&gt;=$B$3,FALSE),'0'!$AC$37="Forcée",'0'!$X$37&lt;&gt;"",'0'!$AA$37&lt;&gt;""),'0'!$W$37,"")</f>
        <v/>
      </c>
      <c r="J37" s="148" t="str">
        <f t="shared" si="0"/>
        <v/>
      </c>
      <c r="K37" s="148" t="str">
        <f>IF(A37="","",IF('0'!$AC$37="Forcée","Forcée",IF('0'!$AC$37="Exclue","Exclue","Automatique")))</f>
        <v/>
      </c>
      <c r="L37" s="148" t="str">
        <f>IF(A37="","",IF('0'!$AC$37="Exclue","Exclu",IF('0'!$W$37&gt;=$B$3,"Actif - risque significatif",IF(AND('0'!$W$37&lt;$B$3,'0'!$AD$37="Oui"),"Maîtrisé / clôturable","Maîtrisé - à vérifier"))))</f>
        <v/>
      </c>
      <c r="M37" s="148" t="str">
        <f>IF(A37="","",IF('0'!$W$37&gt;=16,"P1 - Critique",IF('0'!$W$37&gt;=13,"P2 - Haute",IF('0'!$W$37&gt;=9,"P3 - Moyenne","P4 - Basse"))))</f>
        <v/>
      </c>
      <c r="N37" s="148"/>
      <c r="O37" s="148" t="str">
        <f>IF(A37="","",'0'!$X$37)</f>
        <v/>
      </c>
      <c r="P37" s="148"/>
      <c r="Q37" s="148"/>
      <c r="R37" s="148" t="str">
        <f>IF(A37="","",'0'!$Z$37)</f>
        <v/>
      </c>
      <c r="S37" s="148"/>
      <c r="T37" s="148"/>
      <c r="U37" s="149"/>
      <c r="V37" s="150"/>
      <c r="W37" s="150" t="str">
        <f>IF(A37="","",'0'!$Y$37)</f>
        <v/>
      </c>
      <c r="X37" s="148"/>
      <c r="Y37" s="148"/>
      <c r="Z37" s="148"/>
      <c r="AA37" s="148"/>
      <c r="AB37" s="148" t="str">
        <f>IF(A37="","",'0'!$AA$37)</f>
        <v/>
      </c>
      <c r="AC37" s="148" t="str">
        <f>IF(A37="","",'0'!$AD$37)</f>
        <v/>
      </c>
      <c r="AD37" s="150" t="str">
        <f>IF(A37="","",'0'!$AE$37)</f>
        <v/>
      </c>
      <c r="AE37" s="148"/>
      <c r="AF37" s="148"/>
      <c r="AG37" s="148" t="str">
        <f>IF(A37="","",'0'!$AF$37)</f>
        <v/>
      </c>
      <c r="AH37" s="151" t="str">
        <f t="shared" si="1"/>
        <v/>
      </c>
    </row>
    <row r="38" spans="1:34">
      <c r="A38" s="148" t="str">
        <f>IF(OR(IFERROR('0'!$W$38&gt;=$B$3,FALSE),'0'!$AC$38="Forcée",'0'!$X$38&lt;&gt;"",'0'!$AA$38&lt;&gt;""),"0-38","")</f>
        <v/>
      </c>
      <c r="B38" s="148" t="str">
        <f>IF(OR(IFERROR('0'!$W$38&gt;=$B$3,FALSE),'0'!$AC$38="Forcée",'0'!$X$38&lt;&gt;"",'0'!$AA$38&lt;&gt;""),"0","")</f>
        <v/>
      </c>
      <c r="C38" s="148" t="str">
        <f>IF(OR(IFERROR('0'!$W$38&gt;=$B$3,FALSE),'0'!$AC$38="Forcée",'0'!$X$38&lt;&gt;"",'0'!$AA$38&lt;&gt;""),'0'!$A$38,"")</f>
        <v/>
      </c>
      <c r="D38" s="148" t="str">
        <f>IF(OR(IFERROR('0'!$W$38&gt;=$B$3,FALSE),'0'!$AC$38="Forcée",'0'!$X$38&lt;&gt;"",'0'!$AA$38&lt;&gt;""),'0'!$B$38,"")</f>
        <v/>
      </c>
      <c r="E38" s="148" t="str">
        <f>IF(OR(IFERROR('0'!$W$38&gt;=$B$3,FALSE),'0'!$AC$38="Forcée",'0'!$X$38&lt;&gt;"",'0'!$AA$38&lt;&gt;""),'0'!$C$38,"")</f>
        <v/>
      </c>
      <c r="F38" s="148" t="str">
        <f>IF(OR(IFERROR('0'!$W$38&gt;=$B$3,FALSE),'0'!$AC$38="Forcée",'0'!$X$38&lt;&gt;"",'0'!$AA$38&lt;&gt;""),'0'!$D$38,"")</f>
        <v/>
      </c>
      <c r="G38" s="148" t="str">
        <f>IF(OR(IFERROR('0'!$W$38&gt;=$B$3,FALSE),'0'!$AC$38="Forcée",'0'!$X$38&lt;&gt;"",'0'!$AA$38&lt;&gt;""),'0'!$E$38,"")</f>
        <v/>
      </c>
      <c r="H38" s="148" t="str">
        <f>IF(OR(IFERROR('0'!$W$38&gt;=$B$3,FALSE),'0'!$AC$38="Forcée",'0'!$X$38&lt;&gt;"",'0'!$AA$38&lt;&gt;""),'0'!$H$38,"")</f>
        <v/>
      </c>
      <c r="I38" s="148" t="str">
        <f>IF(OR(IFERROR('0'!$W$38&gt;=$B$3,FALSE),'0'!$AC$38="Forcée",'0'!$X$38&lt;&gt;"",'0'!$AA$38&lt;&gt;""),'0'!$W$38,"")</f>
        <v/>
      </c>
      <c r="J38" s="148" t="str">
        <f t="shared" si="0"/>
        <v/>
      </c>
      <c r="K38" s="148" t="str">
        <f>IF(A38="","",IF('0'!$AC$38="Forcée","Forcée",IF('0'!$AC$38="Exclue","Exclue","Automatique")))</f>
        <v/>
      </c>
      <c r="L38" s="148" t="str">
        <f>IF(A38="","",IF('0'!$AC$38="Exclue","Exclu",IF('0'!$W$38&gt;=$B$3,"Actif - risque significatif",IF(AND('0'!$W$38&lt;$B$3,'0'!$AD$38="Oui"),"Maîtrisé / clôturable","Maîtrisé - à vérifier"))))</f>
        <v/>
      </c>
      <c r="M38" s="148" t="str">
        <f>IF(A38="","",IF('0'!$W$38&gt;=16,"P1 - Critique",IF('0'!$W$38&gt;=13,"P2 - Haute",IF('0'!$W$38&gt;=9,"P3 - Moyenne","P4 - Basse"))))</f>
        <v/>
      </c>
      <c r="N38" s="148"/>
      <c r="O38" s="148" t="str">
        <f>IF(A38="","",'0'!$X$38)</f>
        <v/>
      </c>
      <c r="P38" s="148"/>
      <c r="Q38" s="148"/>
      <c r="R38" s="148" t="str">
        <f>IF(A38="","",'0'!$Z$38)</f>
        <v/>
      </c>
      <c r="S38" s="148"/>
      <c r="T38" s="148"/>
      <c r="U38" s="149"/>
      <c r="V38" s="150"/>
      <c r="W38" s="150" t="str">
        <f>IF(A38="","",'0'!$Y$38)</f>
        <v/>
      </c>
      <c r="X38" s="148"/>
      <c r="Y38" s="148"/>
      <c r="Z38" s="148"/>
      <c r="AA38" s="148"/>
      <c r="AB38" s="148" t="str">
        <f>IF(A38="","",'0'!$AA$38)</f>
        <v/>
      </c>
      <c r="AC38" s="148" t="str">
        <f>IF(A38="","",'0'!$AD$38)</f>
        <v/>
      </c>
      <c r="AD38" s="150" t="str">
        <f>IF(A38="","",'0'!$AE$38)</f>
        <v/>
      </c>
      <c r="AE38" s="148"/>
      <c r="AF38" s="148"/>
      <c r="AG38" s="148" t="str">
        <f>IF(A38="","",'0'!$AF$38)</f>
        <v/>
      </c>
      <c r="AH38" s="151" t="str">
        <f t="shared" si="1"/>
        <v/>
      </c>
    </row>
    <row r="39" spans="1:34">
      <c r="A39" s="148" t="str">
        <f>IF(OR(IFERROR('0'!$W$39&gt;=$B$3,FALSE),'0'!$AC$39="Forcée",'0'!$X$39&lt;&gt;"",'0'!$AA$39&lt;&gt;""),"0-39","")</f>
        <v/>
      </c>
      <c r="B39" s="148" t="str">
        <f>IF(OR(IFERROR('0'!$W$39&gt;=$B$3,FALSE),'0'!$AC$39="Forcée",'0'!$X$39&lt;&gt;"",'0'!$AA$39&lt;&gt;""),"0","")</f>
        <v/>
      </c>
      <c r="C39" s="148" t="str">
        <f>IF(OR(IFERROR('0'!$W$39&gt;=$B$3,FALSE),'0'!$AC$39="Forcée",'0'!$X$39&lt;&gt;"",'0'!$AA$39&lt;&gt;""),'0'!$A$39,"")</f>
        <v/>
      </c>
      <c r="D39" s="148" t="str">
        <f>IF(OR(IFERROR('0'!$W$39&gt;=$B$3,FALSE),'0'!$AC$39="Forcée",'0'!$X$39&lt;&gt;"",'0'!$AA$39&lt;&gt;""),'0'!$B$39,"")</f>
        <v/>
      </c>
      <c r="E39" s="148" t="str">
        <f>IF(OR(IFERROR('0'!$W$39&gt;=$B$3,FALSE),'0'!$AC$39="Forcée",'0'!$X$39&lt;&gt;"",'0'!$AA$39&lt;&gt;""),'0'!$C$39,"")</f>
        <v/>
      </c>
      <c r="F39" s="148" t="str">
        <f>IF(OR(IFERROR('0'!$W$39&gt;=$B$3,FALSE),'0'!$AC$39="Forcée",'0'!$X$39&lt;&gt;"",'0'!$AA$39&lt;&gt;""),'0'!$D$39,"")</f>
        <v/>
      </c>
      <c r="G39" s="148" t="str">
        <f>IF(OR(IFERROR('0'!$W$39&gt;=$B$3,FALSE),'0'!$AC$39="Forcée",'0'!$X$39&lt;&gt;"",'0'!$AA$39&lt;&gt;""),'0'!$E$39,"")</f>
        <v/>
      </c>
      <c r="H39" s="148" t="str">
        <f>IF(OR(IFERROR('0'!$W$39&gt;=$B$3,FALSE),'0'!$AC$39="Forcée",'0'!$X$39&lt;&gt;"",'0'!$AA$39&lt;&gt;""),'0'!$H$39,"")</f>
        <v/>
      </c>
      <c r="I39" s="148" t="str">
        <f>IF(OR(IFERROR('0'!$W$39&gt;=$B$3,FALSE),'0'!$AC$39="Forcée",'0'!$X$39&lt;&gt;"",'0'!$AA$39&lt;&gt;""),'0'!$W$39,"")</f>
        <v/>
      </c>
      <c r="J39" s="148" t="str">
        <f t="shared" si="0"/>
        <v/>
      </c>
      <c r="K39" s="148" t="str">
        <f>IF(A39="","",IF('0'!$AC$39="Forcée","Forcée",IF('0'!$AC$39="Exclue","Exclue","Automatique")))</f>
        <v/>
      </c>
      <c r="L39" s="148" t="str">
        <f>IF(A39="","",IF('0'!$AC$39="Exclue","Exclu",IF('0'!$W$39&gt;=$B$3,"Actif - risque significatif",IF(AND('0'!$W$39&lt;$B$3,'0'!$AD$39="Oui"),"Maîtrisé / clôturable","Maîtrisé - à vérifier"))))</f>
        <v/>
      </c>
      <c r="M39" s="148" t="str">
        <f>IF(A39="","",IF('0'!$W$39&gt;=16,"P1 - Critique",IF('0'!$W$39&gt;=13,"P2 - Haute",IF('0'!$W$39&gt;=9,"P3 - Moyenne","P4 - Basse"))))</f>
        <v/>
      </c>
      <c r="N39" s="148"/>
      <c r="O39" s="148" t="str">
        <f>IF(A39="","",'0'!$X$39)</f>
        <v/>
      </c>
      <c r="P39" s="148"/>
      <c r="Q39" s="148"/>
      <c r="R39" s="148" t="str">
        <f>IF(A39="","",'0'!$Z$39)</f>
        <v/>
      </c>
      <c r="S39" s="148"/>
      <c r="T39" s="148"/>
      <c r="U39" s="149"/>
      <c r="V39" s="150"/>
      <c r="W39" s="150" t="str">
        <f>IF(A39="","",'0'!$Y$39)</f>
        <v/>
      </c>
      <c r="X39" s="148"/>
      <c r="Y39" s="148"/>
      <c r="Z39" s="148"/>
      <c r="AA39" s="148"/>
      <c r="AB39" s="148" t="str">
        <f>IF(A39="","",'0'!$AA$39)</f>
        <v/>
      </c>
      <c r="AC39" s="148" t="str">
        <f>IF(A39="","",'0'!$AD$39)</f>
        <v/>
      </c>
      <c r="AD39" s="150" t="str">
        <f>IF(A39="","",'0'!$AE$39)</f>
        <v/>
      </c>
      <c r="AE39" s="148"/>
      <c r="AF39" s="148"/>
      <c r="AG39" s="148" t="str">
        <f>IF(A39="","",'0'!$AF$39)</f>
        <v/>
      </c>
      <c r="AH39" s="151" t="str">
        <f t="shared" si="1"/>
        <v/>
      </c>
    </row>
    <row r="40" spans="1:34">
      <c r="A40" s="148" t="str">
        <f>IF(OR(IFERROR('0'!$W$40&gt;=$B$3,FALSE),'0'!$AC$40="Forcée",'0'!$X$40&lt;&gt;"",'0'!$AA$40&lt;&gt;""),"0-40","")</f>
        <v/>
      </c>
      <c r="B40" s="148" t="str">
        <f>IF(OR(IFERROR('0'!$W$40&gt;=$B$3,FALSE),'0'!$AC$40="Forcée",'0'!$X$40&lt;&gt;"",'0'!$AA$40&lt;&gt;""),"0","")</f>
        <v/>
      </c>
      <c r="C40" s="148" t="str">
        <f>IF(OR(IFERROR('0'!$W$40&gt;=$B$3,FALSE),'0'!$AC$40="Forcée",'0'!$X$40&lt;&gt;"",'0'!$AA$40&lt;&gt;""),'0'!$A$40,"")</f>
        <v/>
      </c>
      <c r="D40" s="148" t="str">
        <f>IF(OR(IFERROR('0'!$W$40&gt;=$B$3,FALSE),'0'!$AC$40="Forcée",'0'!$X$40&lt;&gt;"",'0'!$AA$40&lt;&gt;""),'0'!$B$40,"")</f>
        <v/>
      </c>
      <c r="E40" s="148" t="str">
        <f>IF(OR(IFERROR('0'!$W$40&gt;=$B$3,FALSE),'0'!$AC$40="Forcée",'0'!$X$40&lt;&gt;"",'0'!$AA$40&lt;&gt;""),'0'!$C$40,"")</f>
        <v/>
      </c>
      <c r="F40" s="148" t="str">
        <f>IF(OR(IFERROR('0'!$W$40&gt;=$B$3,FALSE),'0'!$AC$40="Forcée",'0'!$X$40&lt;&gt;"",'0'!$AA$40&lt;&gt;""),'0'!$D$40,"")</f>
        <v/>
      </c>
      <c r="G40" s="148" t="str">
        <f>IF(OR(IFERROR('0'!$W$40&gt;=$B$3,FALSE),'0'!$AC$40="Forcée",'0'!$X$40&lt;&gt;"",'0'!$AA$40&lt;&gt;""),'0'!$E$40,"")</f>
        <v/>
      </c>
      <c r="H40" s="148" t="str">
        <f>IF(OR(IFERROR('0'!$W$40&gt;=$B$3,FALSE),'0'!$AC$40="Forcée",'0'!$X$40&lt;&gt;"",'0'!$AA$40&lt;&gt;""),'0'!$H$40,"")</f>
        <v/>
      </c>
      <c r="I40" s="148" t="str">
        <f>IF(OR(IFERROR('0'!$W$40&gt;=$B$3,FALSE),'0'!$AC$40="Forcée",'0'!$X$40&lt;&gt;"",'0'!$AA$40&lt;&gt;""),'0'!$W$40,"")</f>
        <v/>
      </c>
      <c r="J40" s="148" t="str">
        <f t="shared" si="0"/>
        <v/>
      </c>
      <c r="K40" s="148" t="str">
        <f>IF(A40="","",IF('0'!$AC$40="Forcée","Forcée",IF('0'!$AC$40="Exclue","Exclue","Automatique")))</f>
        <v/>
      </c>
      <c r="L40" s="148" t="str">
        <f>IF(A40="","",IF('0'!$AC$40="Exclue","Exclu",IF('0'!$W$40&gt;=$B$3,"Actif - risque significatif",IF(AND('0'!$W$40&lt;$B$3,'0'!$AD$40="Oui"),"Maîtrisé / clôturable","Maîtrisé - à vérifier"))))</f>
        <v/>
      </c>
      <c r="M40" s="148" t="str">
        <f>IF(A40="","",IF('0'!$W$40&gt;=16,"P1 - Critique",IF('0'!$W$40&gt;=13,"P2 - Haute",IF('0'!$W$40&gt;=9,"P3 - Moyenne","P4 - Basse"))))</f>
        <v/>
      </c>
      <c r="N40" s="148"/>
      <c r="O40" s="148" t="str">
        <f>IF(A40="","",'0'!$X$40)</f>
        <v/>
      </c>
      <c r="P40" s="148"/>
      <c r="Q40" s="148"/>
      <c r="R40" s="148" t="str">
        <f>IF(A40="","",'0'!$Z$40)</f>
        <v/>
      </c>
      <c r="S40" s="148"/>
      <c r="T40" s="148"/>
      <c r="U40" s="149"/>
      <c r="V40" s="150"/>
      <c r="W40" s="150" t="str">
        <f>IF(A40="","",'0'!$Y$40)</f>
        <v/>
      </c>
      <c r="X40" s="148"/>
      <c r="Y40" s="148"/>
      <c r="Z40" s="148"/>
      <c r="AA40" s="148"/>
      <c r="AB40" s="148" t="str">
        <f>IF(A40="","",'0'!$AA$40)</f>
        <v/>
      </c>
      <c r="AC40" s="148" t="str">
        <f>IF(A40="","",'0'!$AD$40)</f>
        <v/>
      </c>
      <c r="AD40" s="150" t="str">
        <f>IF(A40="","",'0'!$AE$40)</f>
        <v/>
      </c>
      <c r="AE40" s="148"/>
      <c r="AF40" s="148"/>
      <c r="AG40" s="148" t="str">
        <f>IF(A40="","",'0'!$AF$40)</f>
        <v/>
      </c>
      <c r="AH40" s="151" t="str">
        <f t="shared" si="1"/>
        <v/>
      </c>
    </row>
    <row r="41" spans="1:34">
      <c r="A41" s="148" t="str">
        <f>IF(OR(IFERROR('0'!$W$41&gt;=$B$3,FALSE),'0'!$AC$41="Forcée",'0'!$X$41&lt;&gt;"",'0'!$AA$41&lt;&gt;""),"0-41","")</f>
        <v/>
      </c>
      <c r="B41" s="148" t="str">
        <f>IF(OR(IFERROR('0'!$W$41&gt;=$B$3,FALSE),'0'!$AC$41="Forcée",'0'!$X$41&lt;&gt;"",'0'!$AA$41&lt;&gt;""),"0","")</f>
        <v/>
      </c>
      <c r="C41" s="148" t="str">
        <f>IF(OR(IFERROR('0'!$W$41&gt;=$B$3,FALSE),'0'!$AC$41="Forcée",'0'!$X$41&lt;&gt;"",'0'!$AA$41&lt;&gt;""),'0'!$A$41,"")</f>
        <v/>
      </c>
      <c r="D41" s="148" t="str">
        <f>IF(OR(IFERROR('0'!$W$41&gt;=$B$3,FALSE),'0'!$AC$41="Forcée",'0'!$X$41&lt;&gt;"",'0'!$AA$41&lt;&gt;""),'0'!$B$41,"")</f>
        <v/>
      </c>
      <c r="E41" s="148" t="str">
        <f>IF(OR(IFERROR('0'!$W$41&gt;=$B$3,FALSE),'0'!$AC$41="Forcée",'0'!$X$41&lt;&gt;"",'0'!$AA$41&lt;&gt;""),'0'!$C$41,"")</f>
        <v/>
      </c>
      <c r="F41" s="148" t="str">
        <f>IF(OR(IFERROR('0'!$W$41&gt;=$B$3,FALSE),'0'!$AC$41="Forcée",'0'!$X$41&lt;&gt;"",'0'!$AA$41&lt;&gt;""),'0'!$D$41,"")</f>
        <v/>
      </c>
      <c r="G41" s="148" t="str">
        <f>IF(OR(IFERROR('0'!$W$41&gt;=$B$3,FALSE),'0'!$AC$41="Forcée",'0'!$X$41&lt;&gt;"",'0'!$AA$41&lt;&gt;""),'0'!$E$41,"")</f>
        <v/>
      </c>
      <c r="H41" s="148" t="str">
        <f>IF(OR(IFERROR('0'!$W$41&gt;=$B$3,FALSE),'0'!$AC$41="Forcée",'0'!$X$41&lt;&gt;"",'0'!$AA$41&lt;&gt;""),'0'!$H$41,"")</f>
        <v/>
      </c>
      <c r="I41" s="148" t="str">
        <f>IF(OR(IFERROR('0'!$W$41&gt;=$B$3,FALSE),'0'!$AC$41="Forcée",'0'!$X$41&lt;&gt;"",'0'!$AA$41&lt;&gt;""),'0'!$W$41,"")</f>
        <v/>
      </c>
      <c r="J41" s="148" t="str">
        <f t="shared" si="0"/>
        <v/>
      </c>
      <c r="K41" s="148" t="str">
        <f>IF(A41="","",IF('0'!$AC$41="Forcée","Forcée",IF('0'!$AC$41="Exclue","Exclue","Automatique")))</f>
        <v/>
      </c>
      <c r="L41" s="148" t="str">
        <f>IF(A41="","",IF('0'!$AC$41="Exclue","Exclu",IF('0'!$W$41&gt;=$B$3,"Actif - risque significatif",IF(AND('0'!$W$41&lt;$B$3,'0'!$AD$41="Oui"),"Maîtrisé / clôturable","Maîtrisé - à vérifier"))))</f>
        <v/>
      </c>
      <c r="M41" s="148" t="str">
        <f>IF(A41="","",IF('0'!$W$41&gt;=16,"P1 - Critique",IF('0'!$W$41&gt;=13,"P2 - Haute",IF('0'!$W$41&gt;=9,"P3 - Moyenne","P4 - Basse"))))</f>
        <v/>
      </c>
      <c r="N41" s="148"/>
      <c r="O41" s="148" t="str">
        <f>IF(A41="","",'0'!$X$41)</f>
        <v/>
      </c>
      <c r="P41" s="148"/>
      <c r="Q41" s="148"/>
      <c r="R41" s="148" t="str">
        <f>IF(A41="","",'0'!$Z$41)</f>
        <v/>
      </c>
      <c r="S41" s="148"/>
      <c r="T41" s="148"/>
      <c r="U41" s="149"/>
      <c r="V41" s="150"/>
      <c r="W41" s="150" t="str">
        <f>IF(A41="","",'0'!$Y$41)</f>
        <v/>
      </c>
      <c r="X41" s="148"/>
      <c r="Y41" s="148"/>
      <c r="Z41" s="148"/>
      <c r="AA41" s="148"/>
      <c r="AB41" s="148" t="str">
        <f>IF(A41="","",'0'!$AA$41)</f>
        <v/>
      </c>
      <c r="AC41" s="148" t="str">
        <f>IF(A41="","",'0'!$AD$41)</f>
        <v/>
      </c>
      <c r="AD41" s="150" t="str">
        <f>IF(A41="","",'0'!$AE$41)</f>
        <v/>
      </c>
      <c r="AE41" s="148"/>
      <c r="AF41" s="148"/>
      <c r="AG41" s="148" t="str">
        <f>IF(A41="","",'0'!$AF$41)</f>
        <v/>
      </c>
      <c r="AH41" s="151" t="str">
        <f t="shared" si="1"/>
        <v/>
      </c>
    </row>
    <row r="42" spans="1:34">
      <c r="A42" s="148" t="str">
        <f>IF(OR(IFERROR('0'!$W$42&gt;=$B$3,FALSE),'0'!$AC$42="Forcée",'0'!$X$42&lt;&gt;"",'0'!$AA$42&lt;&gt;""),"0-42","")</f>
        <v/>
      </c>
      <c r="B42" s="148" t="str">
        <f>IF(OR(IFERROR('0'!$W$42&gt;=$B$3,FALSE),'0'!$AC$42="Forcée",'0'!$X$42&lt;&gt;"",'0'!$AA$42&lt;&gt;""),"0","")</f>
        <v/>
      </c>
      <c r="C42" s="148" t="str">
        <f>IF(OR(IFERROR('0'!$W$42&gt;=$B$3,FALSE),'0'!$AC$42="Forcée",'0'!$X$42&lt;&gt;"",'0'!$AA$42&lt;&gt;""),'0'!$A$42,"")</f>
        <v/>
      </c>
      <c r="D42" s="148" t="str">
        <f>IF(OR(IFERROR('0'!$W$42&gt;=$B$3,FALSE),'0'!$AC$42="Forcée",'0'!$X$42&lt;&gt;"",'0'!$AA$42&lt;&gt;""),'0'!$B$42,"")</f>
        <v/>
      </c>
      <c r="E42" s="148" t="str">
        <f>IF(OR(IFERROR('0'!$W$42&gt;=$B$3,FALSE),'0'!$AC$42="Forcée",'0'!$X$42&lt;&gt;"",'0'!$AA$42&lt;&gt;""),'0'!$C$42,"")</f>
        <v/>
      </c>
      <c r="F42" s="148" t="str">
        <f>IF(OR(IFERROR('0'!$W$42&gt;=$B$3,FALSE),'0'!$AC$42="Forcée",'0'!$X$42&lt;&gt;"",'0'!$AA$42&lt;&gt;""),'0'!$D$42,"")</f>
        <v/>
      </c>
      <c r="G42" s="148" t="str">
        <f>IF(OR(IFERROR('0'!$W$42&gt;=$B$3,FALSE),'0'!$AC$42="Forcée",'0'!$X$42&lt;&gt;"",'0'!$AA$42&lt;&gt;""),'0'!$E$42,"")</f>
        <v/>
      </c>
      <c r="H42" s="148" t="str">
        <f>IF(OR(IFERROR('0'!$W$42&gt;=$B$3,FALSE),'0'!$AC$42="Forcée",'0'!$X$42&lt;&gt;"",'0'!$AA$42&lt;&gt;""),'0'!$H$42,"")</f>
        <v/>
      </c>
      <c r="I42" s="148" t="str">
        <f>IF(OR(IFERROR('0'!$W$42&gt;=$B$3,FALSE),'0'!$AC$42="Forcée",'0'!$X$42&lt;&gt;"",'0'!$AA$42&lt;&gt;""),'0'!$W$42,"")</f>
        <v/>
      </c>
      <c r="J42" s="148" t="str">
        <f t="shared" si="0"/>
        <v/>
      </c>
      <c r="K42" s="148" t="str">
        <f>IF(A42="","",IF('0'!$AC$42="Forcée","Forcée",IF('0'!$AC$42="Exclue","Exclue","Automatique")))</f>
        <v/>
      </c>
      <c r="L42" s="148" t="str">
        <f>IF(A42="","",IF('0'!$AC$42="Exclue","Exclu",IF('0'!$W$42&gt;=$B$3,"Actif - risque significatif",IF(AND('0'!$W$42&lt;$B$3,'0'!$AD$42="Oui"),"Maîtrisé / clôturable","Maîtrisé - à vérifier"))))</f>
        <v/>
      </c>
      <c r="M42" s="148" t="str">
        <f>IF(A42="","",IF('0'!$W$42&gt;=16,"P1 - Critique",IF('0'!$W$42&gt;=13,"P2 - Haute",IF('0'!$W$42&gt;=9,"P3 - Moyenne","P4 - Basse"))))</f>
        <v/>
      </c>
      <c r="N42" s="148"/>
      <c r="O42" s="148" t="str">
        <f>IF(A42="","",'0'!$X$42)</f>
        <v/>
      </c>
      <c r="P42" s="148"/>
      <c r="Q42" s="148"/>
      <c r="R42" s="148" t="str">
        <f>IF(A42="","",'0'!$Z$42)</f>
        <v/>
      </c>
      <c r="S42" s="148"/>
      <c r="T42" s="148"/>
      <c r="U42" s="149"/>
      <c r="V42" s="150"/>
      <c r="W42" s="150" t="str">
        <f>IF(A42="","",'0'!$Y$42)</f>
        <v/>
      </c>
      <c r="X42" s="148"/>
      <c r="Y42" s="148"/>
      <c r="Z42" s="148"/>
      <c r="AA42" s="148"/>
      <c r="AB42" s="148" t="str">
        <f>IF(A42="","",'0'!$AA$42)</f>
        <v/>
      </c>
      <c r="AC42" s="148" t="str">
        <f>IF(A42="","",'0'!$AD$42)</f>
        <v/>
      </c>
      <c r="AD42" s="150" t="str">
        <f>IF(A42="","",'0'!$AE$42)</f>
        <v/>
      </c>
      <c r="AE42" s="148"/>
      <c r="AF42" s="148"/>
      <c r="AG42" s="148" t="str">
        <f>IF(A42="","",'0'!$AF$42)</f>
        <v/>
      </c>
      <c r="AH42" s="151" t="str">
        <f t="shared" si="1"/>
        <v/>
      </c>
    </row>
    <row r="43" spans="1:34">
      <c r="A43" s="148" t="str">
        <f>IF(OR(IFERROR('0'!$W$43&gt;=$B$3,FALSE),'0'!$AC$43="Forcée",'0'!$X$43&lt;&gt;"",'0'!$AA$43&lt;&gt;""),"0-43","")</f>
        <v/>
      </c>
      <c r="B43" s="148" t="str">
        <f>IF(OR(IFERROR('0'!$W$43&gt;=$B$3,FALSE),'0'!$AC$43="Forcée",'0'!$X$43&lt;&gt;"",'0'!$AA$43&lt;&gt;""),"0","")</f>
        <v/>
      </c>
      <c r="C43" s="148" t="str">
        <f>IF(OR(IFERROR('0'!$W$43&gt;=$B$3,FALSE),'0'!$AC$43="Forcée",'0'!$X$43&lt;&gt;"",'0'!$AA$43&lt;&gt;""),'0'!$A$43,"")</f>
        <v/>
      </c>
      <c r="D43" s="148" t="str">
        <f>IF(OR(IFERROR('0'!$W$43&gt;=$B$3,FALSE),'0'!$AC$43="Forcée",'0'!$X$43&lt;&gt;"",'0'!$AA$43&lt;&gt;""),'0'!$B$43,"")</f>
        <v/>
      </c>
      <c r="E43" s="148" t="str">
        <f>IF(OR(IFERROR('0'!$W$43&gt;=$B$3,FALSE),'0'!$AC$43="Forcée",'0'!$X$43&lt;&gt;"",'0'!$AA$43&lt;&gt;""),'0'!$C$43,"")</f>
        <v/>
      </c>
      <c r="F43" s="148" t="str">
        <f>IF(OR(IFERROR('0'!$W$43&gt;=$B$3,FALSE),'0'!$AC$43="Forcée",'0'!$X$43&lt;&gt;"",'0'!$AA$43&lt;&gt;""),'0'!$D$43,"")</f>
        <v/>
      </c>
      <c r="G43" s="148" t="str">
        <f>IF(OR(IFERROR('0'!$W$43&gt;=$B$3,FALSE),'0'!$AC$43="Forcée",'0'!$X$43&lt;&gt;"",'0'!$AA$43&lt;&gt;""),'0'!$E$43,"")</f>
        <v/>
      </c>
      <c r="H43" s="148" t="str">
        <f>IF(OR(IFERROR('0'!$W$43&gt;=$B$3,FALSE),'0'!$AC$43="Forcée",'0'!$X$43&lt;&gt;"",'0'!$AA$43&lt;&gt;""),'0'!$H$43,"")</f>
        <v/>
      </c>
      <c r="I43" s="148" t="str">
        <f>IF(OR(IFERROR('0'!$W$43&gt;=$B$3,FALSE),'0'!$AC$43="Forcée",'0'!$X$43&lt;&gt;"",'0'!$AA$43&lt;&gt;""),'0'!$W$43,"")</f>
        <v/>
      </c>
      <c r="J43" s="148" t="str">
        <f t="shared" si="0"/>
        <v/>
      </c>
      <c r="K43" s="148" t="str">
        <f>IF(A43="","",IF('0'!$AC$43="Forcée","Forcée",IF('0'!$AC$43="Exclue","Exclue","Automatique")))</f>
        <v/>
      </c>
      <c r="L43" s="148" t="str">
        <f>IF(A43="","",IF('0'!$AC$43="Exclue","Exclu",IF('0'!$W$43&gt;=$B$3,"Actif - risque significatif",IF(AND('0'!$W$43&lt;$B$3,'0'!$AD$43="Oui"),"Maîtrisé / clôturable","Maîtrisé - à vérifier"))))</f>
        <v/>
      </c>
      <c r="M43" s="148" t="str">
        <f>IF(A43="","",IF('0'!$W$43&gt;=16,"P1 - Critique",IF('0'!$W$43&gt;=13,"P2 - Haute",IF('0'!$W$43&gt;=9,"P3 - Moyenne","P4 - Basse"))))</f>
        <v/>
      </c>
      <c r="N43" s="148"/>
      <c r="O43" s="148" t="str">
        <f>IF(A43="","",'0'!$X$43)</f>
        <v/>
      </c>
      <c r="P43" s="148"/>
      <c r="Q43" s="148"/>
      <c r="R43" s="148" t="str">
        <f>IF(A43="","",'0'!$Z$43)</f>
        <v/>
      </c>
      <c r="S43" s="148"/>
      <c r="T43" s="148"/>
      <c r="U43" s="149"/>
      <c r="V43" s="150"/>
      <c r="W43" s="150" t="str">
        <f>IF(A43="","",'0'!$Y$43)</f>
        <v/>
      </c>
      <c r="X43" s="148"/>
      <c r="Y43" s="148"/>
      <c r="Z43" s="148"/>
      <c r="AA43" s="148"/>
      <c r="AB43" s="148" t="str">
        <f>IF(A43="","",'0'!$AA$43)</f>
        <v/>
      </c>
      <c r="AC43" s="148" t="str">
        <f>IF(A43="","",'0'!$AD$43)</f>
        <v/>
      </c>
      <c r="AD43" s="150" t="str">
        <f>IF(A43="","",'0'!$AE$43)</f>
        <v/>
      </c>
      <c r="AE43" s="148"/>
      <c r="AF43" s="148"/>
      <c r="AG43" s="148" t="str">
        <f>IF(A43="","",'0'!$AF$43)</f>
        <v/>
      </c>
      <c r="AH43" s="151" t="str">
        <f t="shared" si="1"/>
        <v/>
      </c>
    </row>
    <row r="44" spans="1:34">
      <c r="A44" s="148" t="str">
        <f>IF(OR(IFERROR('0'!$W$44&gt;=$B$3,FALSE),'0'!$AC$44="Forcée",'0'!$X$44&lt;&gt;"",'0'!$AA$44&lt;&gt;""),"0-44","")</f>
        <v/>
      </c>
      <c r="B44" s="148" t="str">
        <f>IF(OR(IFERROR('0'!$W$44&gt;=$B$3,FALSE),'0'!$AC$44="Forcée",'0'!$X$44&lt;&gt;"",'0'!$AA$44&lt;&gt;""),"0","")</f>
        <v/>
      </c>
      <c r="C44" s="148" t="str">
        <f>IF(OR(IFERROR('0'!$W$44&gt;=$B$3,FALSE),'0'!$AC$44="Forcée",'0'!$X$44&lt;&gt;"",'0'!$AA$44&lt;&gt;""),'0'!$A$44,"")</f>
        <v/>
      </c>
      <c r="D44" s="148" t="str">
        <f>IF(OR(IFERROR('0'!$W$44&gt;=$B$3,FALSE),'0'!$AC$44="Forcée",'0'!$X$44&lt;&gt;"",'0'!$AA$44&lt;&gt;""),'0'!$B$44,"")</f>
        <v/>
      </c>
      <c r="E44" s="148" t="str">
        <f>IF(OR(IFERROR('0'!$W$44&gt;=$B$3,FALSE),'0'!$AC$44="Forcée",'0'!$X$44&lt;&gt;"",'0'!$AA$44&lt;&gt;""),'0'!$C$44,"")</f>
        <v/>
      </c>
      <c r="F44" s="148" t="str">
        <f>IF(OR(IFERROR('0'!$W$44&gt;=$B$3,FALSE),'0'!$AC$44="Forcée",'0'!$X$44&lt;&gt;"",'0'!$AA$44&lt;&gt;""),'0'!$D$44,"")</f>
        <v/>
      </c>
      <c r="G44" s="148" t="str">
        <f>IF(OR(IFERROR('0'!$W$44&gt;=$B$3,FALSE),'0'!$AC$44="Forcée",'0'!$X$44&lt;&gt;"",'0'!$AA$44&lt;&gt;""),'0'!$E$44,"")</f>
        <v/>
      </c>
      <c r="H44" s="148" t="str">
        <f>IF(OR(IFERROR('0'!$W$44&gt;=$B$3,FALSE),'0'!$AC$44="Forcée",'0'!$X$44&lt;&gt;"",'0'!$AA$44&lt;&gt;""),'0'!$H$44,"")</f>
        <v/>
      </c>
      <c r="I44" s="148" t="str">
        <f>IF(OR(IFERROR('0'!$W$44&gt;=$B$3,FALSE),'0'!$AC$44="Forcée",'0'!$X$44&lt;&gt;"",'0'!$AA$44&lt;&gt;""),'0'!$W$44,"")</f>
        <v/>
      </c>
      <c r="J44" s="148" t="str">
        <f t="shared" si="0"/>
        <v/>
      </c>
      <c r="K44" s="148" t="str">
        <f>IF(A44="","",IF('0'!$AC$44="Forcée","Forcée",IF('0'!$AC$44="Exclue","Exclue","Automatique")))</f>
        <v/>
      </c>
      <c r="L44" s="148" t="str">
        <f>IF(A44="","",IF('0'!$AC$44="Exclue","Exclu",IF('0'!$W$44&gt;=$B$3,"Actif - risque significatif",IF(AND('0'!$W$44&lt;$B$3,'0'!$AD$44="Oui"),"Maîtrisé / clôturable","Maîtrisé - à vérifier"))))</f>
        <v/>
      </c>
      <c r="M44" s="148" t="str">
        <f>IF(A44="","",IF('0'!$W$44&gt;=16,"P1 - Critique",IF('0'!$W$44&gt;=13,"P2 - Haute",IF('0'!$W$44&gt;=9,"P3 - Moyenne","P4 - Basse"))))</f>
        <v/>
      </c>
      <c r="N44" s="148"/>
      <c r="O44" s="148" t="str">
        <f>IF(A44="","",'0'!$X$44)</f>
        <v/>
      </c>
      <c r="P44" s="148"/>
      <c r="Q44" s="148"/>
      <c r="R44" s="148" t="str">
        <f>IF(A44="","",'0'!$Z$44)</f>
        <v/>
      </c>
      <c r="S44" s="148"/>
      <c r="T44" s="148"/>
      <c r="U44" s="149"/>
      <c r="V44" s="150"/>
      <c r="W44" s="150" t="str">
        <f>IF(A44="","",'0'!$Y$44)</f>
        <v/>
      </c>
      <c r="X44" s="148"/>
      <c r="Y44" s="148"/>
      <c r="Z44" s="148"/>
      <c r="AA44" s="148"/>
      <c r="AB44" s="148" t="str">
        <f>IF(A44="","",'0'!$AA$44)</f>
        <v/>
      </c>
      <c r="AC44" s="148" t="str">
        <f>IF(A44="","",'0'!$AD$44)</f>
        <v/>
      </c>
      <c r="AD44" s="150" t="str">
        <f>IF(A44="","",'0'!$AE$44)</f>
        <v/>
      </c>
      <c r="AE44" s="148"/>
      <c r="AF44" s="148"/>
      <c r="AG44" s="148" t="str">
        <f>IF(A44="","",'0'!$AF$44)</f>
        <v/>
      </c>
      <c r="AH44" s="151" t="str">
        <f t="shared" si="1"/>
        <v/>
      </c>
    </row>
    <row r="45" spans="1:34">
      <c r="A45" s="148" t="str">
        <f>IF(OR(IFERROR('0'!$W$45&gt;=$B$3,FALSE),'0'!$AC$45="Forcée",'0'!$X$45&lt;&gt;"",'0'!$AA$45&lt;&gt;""),"0-45","")</f>
        <v/>
      </c>
      <c r="B45" s="148" t="str">
        <f>IF(OR(IFERROR('0'!$W$45&gt;=$B$3,FALSE),'0'!$AC$45="Forcée",'0'!$X$45&lt;&gt;"",'0'!$AA$45&lt;&gt;""),"0","")</f>
        <v/>
      </c>
      <c r="C45" s="148" t="str">
        <f>IF(OR(IFERROR('0'!$W$45&gt;=$B$3,FALSE),'0'!$AC$45="Forcée",'0'!$X$45&lt;&gt;"",'0'!$AA$45&lt;&gt;""),'0'!$A$45,"")</f>
        <v/>
      </c>
      <c r="D45" s="148" t="str">
        <f>IF(OR(IFERROR('0'!$W$45&gt;=$B$3,FALSE),'0'!$AC$45="Forcée",'0'!$X$45&lt;&gt;"",'0'!$AA$45&lt;&gt;""),'0'!$B$45,"")</f>
        <v/>
      </c>
      <c r="E45" s="148" t="str">
        <f>IF(OR(IFERROR('0'!$W$45&gt;=$B$3,FALSE),'0'!$AC$45="Forcée",'0'!$X$45&lt;&gt;"",'0'!$AA$45&lt;&gt;""),'0'!$C$45,"")</f>
        <v/>
      </c>
      <c r="F45" s="148" t="str">
        <f>IF(OR(IFERROR('0'!$W$45&gt;=$B$3,FALSE),'0'!$AC$45="Forcée",'0'!$X$45&lt;&gt;"",'0'!$AA$45&lt;&gt;""),'0'!$D$45,"")</f>
        <v/>
      </c>
      <c r="G45" s="148" t="str">
        <f>IF(OR(IFERROR('0'!$W$45&gt;=$B$3,FALSE),'0'!$AC$45="Forcée",'0'!$X$45&lt;&gt;"",'0'!$AA$45&lt;&gt;""),'0'!$E$45,"")</f>
        <v/>
      </c>
      <c r="H45" s="148" t="str">
        <f>IF(OR(IFERROR('0'!$W$45&gt;=$B$3,FALSE),'0'!$AC$45="Forcée",'0'!$X$45&lt;&gt;"",'0'!$AA$45&lt;&gt;""),'0'!$H$45,"")</f>
        <v/>
      </c>
      <c r="I45" s="148" t="str">
        <f>IF(OR(IFERROR('0'!$W$45&gt;=$B$3,FALSE),'0'!$AC$45="Forcée",'0'!$X$45&lt;&gt;"",'0'!$AA$45&lt;&gt;""),'0'!$W$45,"")</f>
        <v/>
      </c>
      <c r="J45" s="148" t="str">
        <f t="shared" si="0"/>
        <v/>
      </c>
      <c r="K45" s="148" t="str">
        <f>IF(A45="","",IF('0'!$AC$45="Forcée","Forcée",IF('0'!$AC$45="Exclue","Exclue","Automatique")))</f>
        <v/>
      </c>
      <c r="L45" s="148" t="str">
        <f>IF(A45="","",IF('0'!$AC$45="Exclue","Exclu",IF('0'!$W$45&gt;=$B$3,"Actif - risque significatif",IF(AND('0'!$W$45&lt;$B$3,'0'!$AD$45="Oui"),"Maîtrisé / clôturable","Maîtrisé - à vérifier"))))</f>
        <v/>
      </c>
      <c r="M45" s="148" t="str">
        <f>IF(A45="","",IF('0'!$W$45&gt;=16,"P1 - Critique",IF('0'!$W$45&gt;=13,"P2 - Haute",IF('0'!$W$45&gt;=9,"P3 - Moyenne","P4 - Basse"))))</f>
        <v/>
      </c>
      <c r="N45" s="148"/>
      <c r="O45" s="148" t="str">
        <f>IF(A45="","",'0'!$X$45)</f>
        <v/>
      </c>
      <c r="P45" s="148"/>
      <c r="Q45" s="148"/>
      <c r="R45" s="148" t="str">
        <f>IF(A45="","",'0'!$Z$45)</f>
        <v/>
      </c>
      <c r="S45" s="148"/>
      <c r="T45" s="148"/>
      <c r="U45" s="149"/>
      <c r="V45" s="150"/>
      <c r="W45" s="150" t="str">
        <f>IF(A45="","",'0'!$Y$45)</f>
        <v/>
      </c>
      <c r="X45" s="148"/>
      <c r="Y45" s="148"/>
      <c r="Z45" s="148"/>
      <c r="AA45" s="148"/>
      <c r="AB45" s="148" t="str">
        <f>IF(A45="","",'0'!$AA$45)</f>
        <v/>
      </c>
      <c r="AC45" s="148" t="str">
        <f>IF(A45="","",'0'!$AD$45)</f>
        <v/>
      </c>
      <c r="AD45" s="150" t="str">
        <f>IF(A45="","",'0'!$AE$45)</f>
        <v/>
      </c>
      <c r="AE45" s="148"/>
      <c r="AF45" s="148"/>
      <c r="AG45" s="148" t="str">
        <f>IF(A45="","",'0'!$AF$45)</f>
        <v/>
      </c>
      <c r="AH45" s="151" t="str">
        <f t="shared" si="1"/>
        <v/>
      </c>
    </row>
    <row r="46" spans="1:34">
      <c r="A46" s="148" t="str">
        <f>IF(OR(IFERROR('0'!$W$46&gt;=$B$3,FALSE),'0'!$AC$46="Forcée",'0'!$X$46&lt;&gt;"",'0'!$AA$46&lt;&gt;""),"0-46","")</f>
        <v/>
      </c>
      <c r="B46" s="148" t="str">
        <f>IF(OR(IFERROR('0'!$W$46&gt;=$B$3,FALSE),'0'!$AC$46="Forcée",'0'!$X$46&lt;&gt;"",'0'!$AA$46&lt;&gt;""),"0","")</f>
        <v/>
      </c>
      <c r="C46" s="148" t="str">
        <f>IF(OR(IFERROR('0'!$W$46&gt;=$B$3,FALSE),'0'!$AC$46="Forcée",'0'!$X$46&lt;&gt;"",'0'!$AA$46&lt;&gt;""),'0'!$A$46,"")</f>
        <v/>
      </c>
      <c r="D46" s="148" t="str">
        <f>IF(OR(IFERROR('0'!$W$46&gt;=$B$3,FALSE),'0'!$AC$46="Forcée",'0'!$X$46&lt;&gt;"",'0'!$AA$46&lt;&gt;""),'0'!$B$46,"")</f>
        <v/>
      </c>
      <c r="E46" s="148" t="str">
        <f>IF(OR(IFERROR('0'!$W$46&gt;=$B$3,FALSE),'0'!$AC$46="Forcée",'0'!$X$46&lt;&gt;"",'0'!$AA$46&lt;&gt;""),'0'!$C$46,"")</f>
        <v/>
      </c>
      <c r="F46" s="148" t="str">
        <f>IF(OR(IFERROR('0'!$W$46&gt;=$B$3,FALSE),'0'!$AC$46="Forcée",'0'!$X$46&lt;&gt;"",'0'!$AA$46&lt;&gt;""),'0'!$D$46,"")</f>
        <v/>
      </c>
      <c r="G46" s="148" t="str">
        <f>IF(OR(IFERROR('0'!$W$46&gt;=$B$3,FALSE),'0'!$AC$46="Forcée",'0'!$X$46&lt;&gt;"",'0'!$AA$46&lt;&gt;""),'0'!$E$46,"")</f>
        <v/>
      </c>
      <c r="H46" s="148" t="str">
        <f>IF(OR(IFERROR('0'!$W$46&gt;=$B$3,FALSE),'0'!$AC$46="Forcée",'0'!$X$46&lt;&gt;"",'0'!$AA$46&lt;&gt;""),'0'!$H$46,"")</f>
        <v/>
      </c>
      <c r="I46" s="148" t="str">
        <f>IF(OR(IFERROR('0'!$W$46&gt;=$B$3,FALSE),'0'!$AC$46="Forcée",'0'!$X$46&lt;&gt;"",'0'!$AA$46&lt;&gt;""),'0'!$W$46,"")</f>
        <v/>
      </c>
      <c r="J46" s="148" t="str">
        <f t="shared" si="0"/>
        <v/>
      </c>
      <c r="K46" s="148" t="str">
        <f>IF(A46="","",IF('0'!$AC$46="Forcée","Forcée",IF('0'!$AC$46="Exclue","Exclue","Automatique")))</f>
        <v/>
      </c>
      <c r="L46" s="148" t="str">
        <f>IF(A46="","",IF('0'!$AC$46="Exclue","Exclu",IF('0'!$W$46&gt;=$B$3,"Actif - risque significatif",IF(AND('0'!$W$46&lt;$B$3,'0'!$AD$46="Oui"),"Maîtrisé / clôturable","Maîtrisé - à vérifier"))))</f>
        <v/>
      </c>
      <c r="M46" s="148" t="str">
        <f>IF(A46="","",IF('0'!$W$46&gt;=16,"P1 - Critique",IF('0'!$W$46&gt;=13,"P2 - Haute",IF('0'!$W$46&gt;=9,"P3 - Moyenne","P4 - Basse"))))</f>
        <v/>
      </c>
      <c r="N46" s="148"/>
      <c r="O46" s="148" t="str">
        <f>IF(A46="","",'0'!$X$46)</f>
        <v/>
      </c>
      <c r="P46" s="148"/>
      <c r="Q46" s="148"/>
      <c r="R46" s="148" t="str">
        <f>IF(A46="","",'0'!$Z$46)</f>
        <v/>
      </c>
      <c r="S46" s="148"/>
      <c r="T46" s="148"/>
      <c r="U46" s="149"/>
      <c r="V46" s="150"/>
      <c r="W46" s="150" t="str">
        <f>IF(A46="","",'0'!$Y$46)</f>
        <v/>
      </c>
      <c r="X46" s="148"/>
      <c r="Y46" s="148"/>
      <c r="Z46" s="148"/>
      <c r="AA46" s="148"/>
      <c r="AB46" s="148" t="str">
        <f>IF(A46="","",'0'!$AA$46)</f>
        <v/>
      </c>
      <c r="AC46" s="148" t="str">
        <f>IF(A46="","",'0'!$AD$46)</f>
        <v/>
      </c>
      <c r="AD46" s="150" t="str">
        <f>IF(A46="","",'0'!$AE$46)</f>
        <v/>
      </c>
      <c r="AE46" s="148"/>
      <c r="AF46" s="148"/>
      <c r="AG46" s="148" t="str">
        <f>IF(A46="","",'0'!$AF$46)</f>
        <v/>
      </c>
      <c r="AH46" s="151" t="str">
        <f t="shared" si="1"/>
        <v/>
      </c>
    </row>
    <row r="47" spans="1:34">
      <c r="A47" s="148" t="str">
        <f>IF(OR(IFERROR('0'!$W$47&gt;=$B$3,FALSE),'0'!$AC$47="Forcée",'0'!$X$47&lt;&gt;"",'0'!$AA$47&lt;&gt;""),"0-47","")</f>
        <v/>
      </c>
      <c r="B47" s="148" t="str">
        <f>IF(OR(IFERROR('0'!$W$47&gt;=$B$3,FALSE),'0'!$AC$47="Forcée",'0'!$X$47&lt;&gt;"",'0'!$AA$47&lt;&gt;""),"0","")</f>
        <v/>
      </c>
      <c r="C47" s="148" t="str">
        <f>IF(OR(IFERROR('0'!$W$47&gt;=$B$3,FALSE),'0'!$AC$47="Forcée",'0'!$X$47&lt;&gt;"",'0'!$AA$47&lt;&gt;""),'0'!$A$47,"")</f>
        <v/>
      </c>
      <c r="D47" s="148" t="str">
        <f>IF(OR(IFERROR('0'!$W$47&gt;=$B$3,FALSE),'0'!$AC$47="Forcée",'0'!$X$47&lt;&gt;"",'0'!$AA$47&lt;&gt;""),'0'!$B$47,"")</f>
        <v/>
      </c>
      <c r="E47" s="148" t="str">
        <f>IF(OR(IFERROR('0'!$W$47&gt;=$B$3,FALSE),'0'!$AC$47="Forcée",'0'!$X$47&lt;&gt;"",'0'!$AA$47&lt;&gt;""),'0'!$C$47,"")</f>
        <v/>
      </c>
      <c r="F47" s="148" t="str">
        <f>IF(OR(IFERROR('0'!$W$47&gt;=$B$3,FALSE),'0'!$AC$47="Forcée",'0'!$X$47&lt;&gt;"",'0'!$AA$47&lt;&gt;""),'0'!$D$47,"")</f>
        <v/>
      </c>
      <c r="G47" s="148" t="str">
        <f>IF(OR(IFERROR('0'!$W$47&gt;=$B$3,FALSE),'0'!$AC$47="Forcée",'0'!$X$47&lt;&gt;"",'0'!$AA$47&lt;&gt;""),'0'!$E$47,"")</f>
        <v/>
      </c>
      <c r="H47" s="148" t="str">
        <f>IF(OR(IFERROR('0'!$W$47&gt;=$B$3,FALSE),'0'!$AC$47="Forcée",'0'!$X$47&lt;&gt;"",'0'!$AA$47&lt;&gt;""),'0'!$H$47,"")</f>
        <v/>
      </c>
      <c r="I47" s="148" t="str">
        <f>IF(OR(IFERROR('0'!$W$47&gt;=$B$3,FALSE),'0'!$AC$47="Forcée",'0'!$X$47&lt;&gt;"",'0'!$AA$47&lt;&gt;""),'0'!$W$47,"")</f>
        <v/>
      </c>
      <c r="J47" s="148" t="str">
        <f t="shared" si="0"/>
        <v/>
      </c>
      <c r="K47" s="148" t="str">
        <f>IF(A47="","",IF('0'!$AC$47="Forcée","Forcée",IF('0'!$AC$47="Exclue","Exclue","Automatique")))</f>
        <v/>
      </c>
      <c r="L47" s="148" t="str">
        <f>IF(A47="","",IF('0'!$AC$47="Exclue","Exclu",IF('0'!$W$47&gt;=$B$3,"Actif - risque significatif",IF(AND('0'!$W$47&lt;$B$3,'0'!$AD$47="Oui"),"Maîtrisé / clôturable","Maîtrisé - à vérifier"))))</f>
        <v/>
      </c>
      <c r="M47" s="148" t="str">
        <f>IF(A47="","",IF('0'!$W$47&gt;=16,"P1 - Critique",IF('0'!$W$47&gt;=13,"P2 - Haute",IF('0'!$W$47&gt;=9,"P3 - Moyenne","P4 - Basse"))))</f>
        <v/>
      </c>
      <c r="N47" s="148"/>
      <c r="O47" s="148" t="str">
        <f>IF(A47="","",'0'!$X$47)</f>
        <v/>
      </c>
      <c r="P47" s="148"/>
      <c r="Q47" s="148"/>
      <c r="R47" s="148" t="str">
        <f>IF(A47="","",'0'!$Z$47)</f>
        <v/>
      </c>
      <c r="S47" s="148"/>
      <c r="T47" s="148"/>
      <c r="U47" s="149"/>
      <c r="V47" s="150"/>
      <c r="W47" s="150" t="str">
        <f>IF(A47="","",'0'!$Y$47)</f>
        <v/>
      </c>
      <c r="X47" s="148"/>
      <c r="Y47" s="148"/>
      <c r="Z47" s="148"/>
      <c r="AA47" s="148"/>
      <c r="AB47" s="148" t="str">
        <f>IF(A47="","",'0'!$AA$47)</f>
        <v/>
      </c>
      <c r="AC47" s="148" t="str">
        <f>IF(A47="","",'0'!$AD$47)</f>
        <v/>
      </c>
      <c r="AD47" s="150" t="str">
        <f>IF(A47="","",'0'!$AE$47)</f>
        <v/>
      </c>
      <c r="AE47" s="148"/>
      <c r="AF47" s="148"/>
      <c r="AG47" s="148" t="str">
        <f>IF(A47="","",'0'!$AF$47)</f>
        <v/>
      </c>
      <c r="AH47" s="151" t="str">
        <f t="shared" si="1"/>
        <v/>
      </c>
    </row>
    <row r="48" spans="1:34">
      <c r="A48" s="148" t="str">
        <f>IF(OR(IFERROR('0'!$W$48&gt;=$B$3,FALSE),'0'!$AC$48="Forcée",'0'!$X$48&lt;&gt;"",'0'!$AA$48&lt;&gt;""),"0-48","")</f>
        <v/>
      </c>
      <c r="B48" s="148" t="str">
        <f>IF(OR(IFERROR('0'!$W$48&gt;=$B$3,FALSE),'0'!$AC$48="Forcée",'0'!$X$48&lt;&gt;"",'0'!$AA$48&lt;&gt;""),"0","")</f>
        <v/>
      </c>
      <c r="C48" s="148" t="str">
        <f>IF(OR(IFERROR('0'!$W$48&gt;=$B$3,FALSE),'0'!$AC$48="Forcée",'0'!$X$48&lt;&gt;"",'0'!$AA$48&lt;&gt;""),'0'!$A$48,"")</f>
        <v/>
      </c>
      <c r="D48" s="148" t="str">
        <f>IF(OR(IFERROR('0'!$W$48&gt;=$B$3,FALSE),'0'!$AC$48="Forcée",'0'!$X$48&lt;&gt;"",'0'!$AA$48&lt;&gt;""),'0'!$B$48,"")</f>
        <v/>
      </c>
      <c r="E48" s="148" t="str">
        <f>IF(OR(IFERROR('0'!$W$48&gt;=$B$3,FALSE),'0'!$AC$48="Forcée",'0'!$X$48&lt;&gt;"",'0'!$AA$48&lt;&gt;""),'0'!$C$48,"")</f>
        <v/>
      </c>
      <c r="F48" s="148" t="str">
        <f>IF(OR(IFERROR('0'!$W$48&gt;=$B$3,FALSE),'0'!$AC$48="Forcée",'0'!$X$48&lt;&gt;"",'0'!$AA$48&lt;&gt;""),'0'!$D$48,"")</f>
        <v/>
      </c>
      <c r="G48" s="148" t="str">
        <f>IF(OR(IFERROR('0'!$W$48&gt;=$B$3,FALSE),'0'!$AC$48="Forcée",'0'!$X$48&lt;&gt;"",'0'!$AA$48&lt;&gt;""),'0'!$E$48,"")</f>
        <v/>
      </c>
      <c r="H48" s="148" t="str">
        <f>IF(OR(IFERROR('0'!$W$48&gt;=$B$3,FALSE),'0'!$AC$48="Forcée",'0'!$X$48&lt;&gt;"",'0'!$AA$48&lt;&gt;""),'0'!$H$48,"")</f>
        <v/>
      </c>
      <c r="I48" s="148" t="str">
        <f>IF(OR(IFERROR('0'!$W$48&gt;=$B$3,FALSE),'0'!$AC$48="Forcée",'0'!$X$48&lt;&gt;"",'0'!$AA$48&lt;&gt;""),'0'!$W$48,"")</f>
        <v/>
      </c>
      <c r="J48" s="148" t="str">
        <f t="shared" si="0"/>
        <v/>
      </c>
      <c r="K48" s="148" t="str">
        <f>IF(A48="","",IF('0'!$AC$48="Forcée","Forcée",IF('0'!$AC$48="Exclue","Exclue","Automatique")))</f>
        <v/>
      </c>
      <c r="L48" s="148" t="str">
        <f>IF(A48="","",IF('0'!$AC$48="Exclue","Exclu",IF('0'!$W$48&gt;=$B$3,"Actif - risque significatif",IF(AND('0'!$W$48&lt;$B$3,'0'!$AD$48="Oui"),"Maîtrisé / clôturable","Maîtrisé - à vérifier"))))</f>
        <v/>
      </c>
      <c r="M48" s="148" t="str">
        <f>IF(A48="","",IF('0'!$W$48&gt;=16,"P1 - Critique",IF('0'!$W$48&gt;=13,"P2 - Haute",IF('0'!$W$48&gt;=9,"P3 - Moyenne","P4 - Basse"))))</f>
        <v/>
      </c>
      <c r="N48" s="148"/>
      <c r="O48" s="148" t="str">
        <f>IF(A48="","",'0'!$X$48)</f>
        <v/>
      </c>
      <c r="P48" s="148"/>
      <c r="Q48" s="148"/>
      <c r="R48" s="148" t="str">
        <f>IF(A48="","",'0'!$Z$48)</f>
        <v/>
      </c>
      <c r="S48" s="148"/>
      <c r="T48" s="148"/>
      <c r="U48" s="149"/>
      <c r="V48" s="150"/>
      <c r="W48" s="150" t="str">
        <f>IF(A48="","",'0'!$Y$48)</f>
        <v/>
      </c>
      <c r="X48" s="148"/>
      <c r="Y48" s="148"/>
      <c r="Z48" s="148"/>
      <c r="AA48" s="148"/>
      <c r="AB48" s="148" t="str">
        <f>IF(A48="","",'0'!$AA$48)</f>
        <v/>
      </c>
      <c r="AC48" s="148" t="str">
        <f>IF(A48="","",'0'!$AD$48)</f>
        <v/>
      </c>
      <c r="AD48" s="150" t="str">
        <f>IF(A48="","",'0'!$AE$48)</f>
        <v/>
      </c>
      <c r="AE48" s="148"/>
      <c r="AF48" s="148"/>
      <c r="AG48" s="148" t="str">
        <f>IF(A48="","",'0'!$AF$48)</f>
        <v/>
      </c>
      <c r="AH48" s="151" t="str">
        <f t="shared" si="1"/>
        <v/>
      </c>
    </row>
    <row r="49" spans="1:34">
      <c r="A49" s="148" t="str">
        <f>IF(OR(IFERROR('0'!$W$49&gt;=$B$3,FALSE),'0'!$AC$49="Forcée",'0'!$X$49&lt;&gt;"",'0'!$AA$49&lt;&gt;""),"0-49","")</f>
        <v/>
      </c>
      <c r="B49" s="148" t="str">
        <f>IF(OR(IFERROR('0'!$W$49&gt;=$B$3,FALSE),'0'!$AC$49="Forcée",'0'!$X$49&lt;&gt;"",'0'!$AA$49&lt;&gt;""),"0","")</f>
        <v/>
      </c>
      <c r="C49" s="148" t="str">
        <f>IF(OR(IFERROR('0'!$W$49&gt;=$B$3,FALSE),'0'!$AC$49="Forcée",'0'!$X$49&lt;&gt;"",'0'!$AA$49&lt;&gt;""),'0'!$A$49,"")</f>
        <v/>
      </c>
      <c r="D49" s="148" t="str">
        <f>IF(OR(IFERROR('0'!$W$49&gt;=$B$3,FALSE),'0'!$AC$49="Forcée",'0'!$X$49&lt;&gt;"",'0'!$AA$49&lt;&gt;""),'0'!$B$49,"")</f>
        <v/>
      </c>
      <c r="E49" s="148" t="str">
        <f>IF(OR(IFERROR('0'!$W$49&gt;=$B$3,FALSE),'0'!$AC$49="Forcée",'0'!$X$49&lt;&gt;"",'0'!$AA$49&lt;&gt;""),'0'!$C$49,"")</f>
        <v/>
      </c>
      <c r="F49" s="148" t="str">
        <f>IF(OR(IFERROR('0'!$W$49&gt;=$B$3,FALSE),'0'!$AC$49="Forcée",'0'!$X$49&lt;&gt;"",'0'!$AA$49&lt;&gt;""),'0'!$D$49,"")</f>
        <v/>
      </c>
      <c r="G49" s="148" t="str">
        <f>IF(OR(IFERROR('0'!$W$49&gt;=$B$3,FALSE),'0'!$AC$49="Forcée",'0'!$X$49&lt;&gt;"",'0'!$AA$49&lt;&gt;""),'0'!$E$49,"")</f>
        <v/>
      </c>
      <c r="H49" s="148" t="str">
        <f>IF(OR(IFERROR('0'!$W$49&gt;=$B$3,FALSE),'0'!$AC$49="Forcée",'0'!$X$49&lt;&gt;"",'0'!$AA$49&lt;&gt;""),'0'!$H$49,"")</f>
        <v/>
      </c>
      <c r="I49" s="148" t="str">
        <f>IF(OR(IFERROR('0'!$W$49&gt;=$B$3,FALSE),'0'!$AC$49="Forcée",'0'!$X$49&lt;&gt;"",'0'!$AA$49&lt;&gt;""),'0'!$W$49,"")</f>
        <v/>
      </c>
      <c r="J49" s="148" t="str">
        <f t="shared" si="0"/>
        <v/>
      </c>
      <c r="K49" s="148" t="str">
        <f>IF(A49="","",IF('0'!$AC$49="Forcée","Forcée",IF('0'!$AC$49="Exclue","Exclue","Automatique")))</f>
        <v/>
      </c>
      <c r="L49" s="148" t="str">
        <f>IF(A49="","",IF('0'!$AC$49="Exclue","Exclu",IF('0'!$W$49&gt;=$B$3,"Actif - risque significatif",IF(AND('0'!$W$49&lt;$B$3,'0'!$AD$49="Oui"),"Maîtrisé / clôturable","Maîtrisé - à vérifier"))))</f>
        <v/>
      </c>
      <c r="M49" s="148" t="str">
        <f>IF(A49="","",IF('0'!$W$49&gt;=16,"P1 - Critique",IF('0'!$W$49&gt;=13,"P2 - Haute",IF('0'!$W$49&gt;=9,"P3 - Moyenne","P4 - Basse"))))</f>
        <v/>
      </c>
      <c r="N49" s="148"/>
      <c r="O49" s="148" t="str">
        <f>IF(A49="","",'0'!$X$49)</f>
        <v/>
      </c>
      <c r="P49" s="148"/>
      <c r="Q49" s="148"/>
      <c r="R49" s="148" t="str">
        <f>IF(A49="","",'0'!$Z$49)</f>
        <v/>
      </c>
      <c r="S49" s="148"/>
      <c r="T49" s="148"/>
      <c r="U49" s="149"/>
      <c r="V49" s="150"/>
      <c r="W49" s="150" t="str">
        <f>IF(A49="","",'0'!$Y$49)</f>
        <v/>
      </c>
      <c r="X49" s="148"/>
      <c r="Y49" s="148"/>
      <c r="Z49" s="148"/>
      <c r="AA49" s="148"/>
      <c r="AB49" s="148" t="str">
        <f>IF(A49="","",'0'!$AA$49)</f>
        <v/>
      </c>
      <c r="AC49" s="148" t="str">
        <f>IF(A49="","",'0'!$AD$49)</f>
        <v/>
      </c>
      <c r="AD49" s="150" t="str">
        <f>IF(A49="","",'0'!$AE$49)</f>
        <v/>
      </c>
      <c r="AE49" s="148"/>
      <c r="AF49" s="148"/>
      <c r="AG49" s="148" t="str">
        <f>IF(A49="","",'0'!$AF$49)</f>
        <v/>
      </c>
      <c r="AH49" s="151" t="str">
        <f t="shared" si="1"/>
        <v/>
      </c>
    </row>
    <row r="50" spans="1:34">
      <c r="A50" s="148" t="str">
        <f>IF(OR(IFERROR('0'!$W$50&gt;=$B$3,FALSE),'0'!$AC$50="Forcée",'0'!$X$50&lt;&gt;"",'0'!$AA$50&lt;&gt;""),"0-50","")</f>
        <v/>
      </c>
      <c r="B50" s="148" t="str">
        <f>IF(OR(IFERROR('0'!$W$50&gt;=$B$3,FALSE),'0'!$AC$50="Forcée",'0'!$X$50&lt;&gt;"",'0'!$AA$50&lt;&gt;""),"0","")</f>
        <v/>
      </c>
      <c r="C50" s="148" t="str">
        <f>IF(OR(IFERROR('0'!$W$50&gt;=$B$3,FALSE),'0'!$AC$50="Forcée",'0'!$X$50&lt;&gt;"",'0'!$AA$50&lt;&gt;""),'0'!$A$50,"")</f>
        <v/>
      </c>
      <c r="D50" s="148" t="str">
        <f>IF(OR(IFERROR('0'!$W$50&gt;=$B$3,FALSE),'0'!$AC$50="Forcée",'0'!$X$50&lt;&gt;"",'0'!$AA$50&lt;&gt;""),'0'!$B$50,"")</f>
        <v/>
      </c>
      <c r="E50" s="148" t="str">
        <f>IF(OR(IFERROR('0'!$W$50&gt;=$B$3,FALSE),'0'!$AC$50="Forcée",'0'!$X$50&lt;&gt;"",'0'!$AA$50&lt;&gt;""),'0'!$C$50,"")</f>
        <v/>
      </c>
      <c r="F50" s="148" t="str">
        <f>IF(OR(IFERROR('0'!$W$50&gt;=$B$3,FALSE),'0'!$AC$50="Forcée",'0'!$X$50&lt;&gt;"",'0'!$AA$50&lt;&gt;""),'0'!$D$50,"")</f>
        <v/>
      </c>
      <c r="G50" s="148" t="str">
        <f>IF(OR(IFERROR('0'!$W$50&gt;=$B$3,FALSE),'0'!$AC$50="Forcée",'0'!$X$50&lt;&gt;"",'0'!$AA$50&lt;&gt;""),'0'!$E$50,"")</f>
        <v/>
      </c>
      <c r="H50" s="148" t="str">
        <f>IF(OR(IFERROR('0'!$W$50&gt;=$B$3,FALSE),'0'!$AC$50="Forcée",'0'!$X$50&lt;&gt;"",'0'!$AA$50&lt;&gt;""),'0'!$H$50,"")</f>
        <v/>
      </c>
      <c r="I50" s="148" t="str">
        <f>IF(OR(IFERROR('0'!$W$50&gt;=$B$3,FALSE),'0'!$AC$50="Forcée",'0'!$X$50&lt;&gt;"",'0'!$AA$50&lt;&gt;""),'0'!$W$50,"")</f>
        <v/>
      </c>
      <c r="J50" s="148" t="str">
        <f t="shared" si="0"/>
        <v/>
      </c>
      <c r="K50" s="148" t="str">
        <f>IF(A50="","",IF('0'!$AC$50="Forcée","Forcée",IF('0'!$AC$50="Exclue","Exclue","Automatique")))</f>
        <v/>
      </c>
      <c r="L50" s="148" t="str">
        <f>IF(A50="","",IF('0'!$AC$50="Exclue","Exclu",IF('0'!$W$50&gt;=$B$3,"Actif - risque significatif",IF(AND('0'!$W$50&lt;$B$3,'0'!$AD$50="Oui"),"Maîtrisé / clôturable","Maîtrisé - à vérifier"))))</f>
        <v/>
      </c>
      <c r="M50" s="148" t="str">
        <f>IF(A50="","",IF('0'!$W$50&gt;=16,"P1 - Critique",IF('0'!$W$50&gt;=13,"P2 - Haute",IF('0'!$W$50&gt;=9,"P3 - Moyenne","P4 - Basse"))))</f>
        <v/>
      </c>
      <c r="N50" s="148"/>
      <c r="O50" s="148" t="str">
        <f>IF(A50="","",'0'!$X$50)</f>
        <v/>
      </c>
      <c r="P50" s="148"/>
      <c r="Q50" s="148"/>
      <c r="R50" s="148" t="str">
        <f>IF(A50="","",'0'!$Z$50)</f>
        <v/>
      </c>
      <c r="S50" s="148"/>
      <c r="T50" s="148"/>
      <c r="U50" s="149"/>
      <c r="V50" s="150"/>
      <c r="W50" s="150" t="str">
        <f>IF(A50="","",'0'!$Y$50)</f>
        <v/>
      </c>
      <c r="X50" s="148"/>
      <c r="Y50" s="148"/>
      <c r="Z50" s="148"/>
      <c r="AA50" s="148"/>
      <c r="AB50" s="148" t="str">
        <f>IF(A50="","",'0'!$AA$50)</f>
        <v/>
      </c>
      <c r="AC50" s="148" t="str">
        <f>IF(A50="","",'0'!$AD$50)</f>
        <v/>
      </c>
      <c r="AD50" s="150" t="str">
        <f>IF(A50="","",'0'!$AE$50)</f>
        <v/>
      </c>
      <c r="AE50" s="148"/>
      <c r="AF50" s="148"/>
      <c r="AG50" s="148" t="str">
        <f>IF(A50="","",'0'!$AF$50)</f>
        <v/>
      </c>
      <c r="AH50" s="151" t="str">
        <f t="shared" si="1"/>
        <v/>
      </c>
    </row>
    <row r="51" spans="1:34">
      <c r="A51" s="148" t="str">
        <f>IF(OR(IFERROR('0'!$W$51&gt;=$B$3,FALSE),'0'!$AC$51="Forcée",'0'!$X$51&lt;&gt;"",'0'!$AA$51&lt;&gt;""),"0-51","")</f>
        <v/>
      </c>
      <c r="B51" s="148" t="str">
        <f>IF(OR(IFERROR('0'!$W$51&gt;=$B$3,FALSE),'0'!$AC$51="Forcée",'0'!$X$51&lt;&gt;"",'0'!$AA$51&lt;&gt;""),"0","")</f>
        <v/>
      </c>
      <c r="C51" s="148" t="str">
        <f>IF(OR(IFERROR('0'!$W$51&gt;=$B$3,FALSE),'0'!$AC$51="Forcée",'0'!$X$51&lt;&gt;"",'0'!$AA$51&lt;&gt;""),'0'!$A$51,"")</f>
        <v/>
      </c>
      <c r="D51" s="148" t="str">
        <f>IF(OR(IFERROR('0'!$W$51&gt;=$B$3,FALSE),'0'!$AC$51="Forcée",'0'!$X$51&lt;&gt;"",'0'!$AA$51&lt;&gt;""),'0'!$B$51,"")</f>
        <v/>
      </c>
      <c r="E51" s="148" t="str">
        <f>IF(OR(IFERROR('0'!$W$51&gt;=$B$3,FALSE),'0'!$AC$51="Forcée",'0'!$X$51&lt;&gt;"",'0'!$AA$51&lt;&gt;""),'0'!$C$51,"")</f>
        <v/>
      </c>
      <c r="F51" s="148" t="str">
        <f>IF(OR(IFERROR('0'!$W$51&gt;=$B$3,FALSE),'0'!$AC$51="Forcée",'0'!$X$51&lt;&gt;"",'0'!$AA$51&lt;&gt;""),'0'!$D$51,"")</f>
        <v/>
      </c>
      <c r="G51" s="148" t="str">
        <f>IF(OR(IFERROR('0'!$W$51&gt;=$B$3,FALSE),'0'!$AC$51="Forcée",'0'!$X$51&lt;&gt;"",'0'!$AA$51&lt;&gt;""),'0'!$E$51,"")</f>
        <v/>
      </c>
      <c r="H51" s="148" t="str">
        <f>IF(OR(IFERROR('0'!$W$51&gt;=$B$3,FALSE),'0'!$AC$51="Forcée",'0'!$X$51&lt;&gt;"",'0'!$AA$51&lt;&gt;""),'0'!$H$51,"")</f>
        <v/>
      </c>
      <c r="I51" s="148" t="str">
        <f>IF(OR(IFERROR('0'!$W$51&gt;=$B$3,FALSE),'0'!$AC$51="Forcée",'0'!$X$51&lt;&gt;"",'0'!$AA$51&lt;&gt;""),'0'!$W$51,"")</f>
        <v/>
      </c>
      <c r="J51" s="148" t="str">
        <f t="shared" si="0"/>
        <v/>
      </c>
      <c r="K51" s="148" t="str">
        <f>IF(A51="","",IF('0'!$AC$51="Forcée","Forcée",IF('0'!$AC$51="Exclue","Exclue","Automatique")))</f>
        <v/>
      </c>
      <c r="L51" s="148" t="str">
        <f>IF(A51="","",IF('0'!$AC$51="Exclue","Exclu",IF('0'!$W$51&gt;=$B$3,"Actif - risque significatif",IF(AND('0'!$W$51&lt;$B$3,'0'!$AD$51="Oui"),"Maîtrisé / clôturable","Maîtrisé - à vérifier"))))</f>
        <v/>
      </c>
      <c r="M51" s="148" t="str">
        <f>IF(A51="","",IF('0'!$W$51&gt;=16,"P1 - Critique",IF('0'!$W$51&gt;=13,"P2 - Haute",IF('0'!$W$51&gt;=9,"P3 - Moyenne","P4 - Basse"))))</f>
        <v/>
      </c>
      <c r="N51" s="148"/>
      <c r="O51" s="148" t="str">
        <f>IF(A51="","",'0'!$X$51)</f>
        <v/>
      </c>
      <c r="P51" s="148"/>
      <c r="Q51" s="148"/>
      <c r="R51" s="148" t="str">
        <f>IF(A51="","",'0'!$Z$51)</f>
        <v/>
      </c>
      <c r="S51" s="148"/>
      <c r="T51" s="148"/>
      <c r="U51" s="149"/>
      <c r="V51" s="150"/>
      <c r="W51" s="150" t="str">
        <f>IF(A51="","",'0'!$Y$51)</f>
        <v/>
      </c>
      <c r="X51" s="148"/>
      <c r="Y51" s="148"/>
      <c r="Z51" s="148"/>
      <c r="AA51" s="148"/>
      <c r="AB51" s="148" t="str">
        <f>IF(A51="","",'0'!$AA$51)</f>
        <v/>
      </c>
      <c r="AC51" s="148" t="str">
        <f>IF(A51="","",'0'!$AD$51)</f>
        <v/>
      </c>
      <c r="AD51" s="150" t="str">
        <f>IF(A51="","",'0'!$AE$51)</f>
        <v/>
      </c>
      <c r="AE51" s="148"/>
      <c r="AF51" s="148"/>
      <c r="AG51" s="148" t="str">
        <f>IF(A51="","",'0'!$AF$51)</f>
        <v/>
      </c>
      <c r="AH51" s="151" t="str">
        <f t="shared" si="1"/>
        <v/>
      </c>
    </row>
    <row r="52" spans="1:34">
      <c r="A52" s="148" t="str">
        <f>IF(OR(IFERROR('0'!$W$52&gt;=$B$3,FALSE),'0'!$AC$52="Forcée",'0'!$X$52&lt;&gt;"",'0'!$AA$52&lt;&gt;""),"0-52","")</f>
        <v/>
      </c>
      <c r="B52" s="148" t="str">
        <f>IF(OR(IFERROR('0'!$W$52&gt;=$B$3,FALSE),'0'!$AC$52="Forcée",'0'!$X$52&lt;&gt;"",'0'!$AA$52&lt;&gt;""),"0","")</f>
        <v/>
      </c>
      <c r="C52" s="148" t="str">
        <f>IF(OR(IFERROR('0'!$W$52&gt;=$B$3,FALSE),'0'!$AC$52="Forcée",'0'!$X$52&lt;&gt;"",'0'!$AA$52&lt;&gt;""),'0'!$A$52,"")</f>
        <v/>
      </c>
      <c r="D52" s="148" t="str">
        <f>IF(OR(IFERROR('0'!$W$52&gt;=$B$3,FALSE),'0'!$AC$52="Forcée",'0'!$X$52&lt;&gt;"",'0'!$AA$52&lt;&gt;""),'0'!$B$52,"")</f>
        <v/>
      </c>
      <c r="E52" s="148" t="str">
        <f>IF(OR(IFERROR('0'!$W$52&gt;=$B$3,FALSE),'0'!$AC$52="Forcée",'0'!$X$52&lt;&gt;"",'0'!$AA$52&lt;&gt;""),'0'!$C$52,"")</f>
        <v/>
      </c>
      <c r="F52" s="148" t="str">
        <f>IF(OR(IFERROR('0'!$W$52&gt;=$B$3,FALSE),'0'!$AC$52="Forcée",'0'!$X$52&lt;&gt;"",'0'!$AA$52&lt;&gt;""),'0'!$D$52,"")</f>
        <v/>
      </c>
      <c r="G52" s="148" t="str">
        <f>IF(OR(IFERROR('0'!$W$52&gt;=$B$3,FALSE),'0'!$AC$52="Forcée",'0'!$X$52&lt;&gt;"",'0'!$AA$52&lt;&gt;""),'0'!$E$52,"")</f>
        <v/>
      </c>
      <c r="H52" s="148" t="str">
        <f>IF(OR(IFERROR('0'!$W$52&gt;=$B$3,FALSE),'0'!$AC$52="Forcée",'0'!$X$52&lt;&gt;"",'0'!$AA$52&lt;&gt;""),'0'!$H$52,"")</f>
        <v/>
      </c>
      <c r="I52" s="148" t="str">
        <f>IF(OR(IFERROR('0'!$W$52&gt;=$B$3,FALSE),'0'!$AC$52="Forcée",'0'!$X$52&lt;&gt;"",'0'!$AA$52&lt;&gt;""),'0'!$W$52,"")</f>
        <v/>
      </c>
      <c r="J52" s="148" t="str">
        <f t="shared" si="0"/>
        <v/>
      </c>
      <c r="K52" s="148" t="str">
        <f>IF(A52="","",IF('0'!$AC$52="Forcée","Forcée",IF('0'!$AC$52="Exclue","Exclue","Automatique")))</f>
        <v/>
      </c>
      <c r="L52" s="148" t="str">
        <f>IF(A52="","",IF('0'!$AC$52="Exclue","Exclu",IF('0'!$W$52&gt;=$B$3,"Actif - risque significatif",IF(AND('0'!$W$52&lt;$B$3,'0'!$AD$52="Oui"),"Maîtrisé / clôturable","Maîtrisé - à vérifier"))))</f>
        <v/>
      </c>
      <c r="M52" s="148" t="str">
        <f>IF(A52="","",IF('0'!$W$52&gt;=16,"P1 - Critique",IF('0'!$W$52&gt;=13,"P2 - Haute",IF('0'!$W$52&gt;=9,"P3 - Moyenne","P4 - Basse"))))</f>
        <v/>
      </c>
      <c r="N52" s="148"/>
      <c r="O52" s="148" t="str">
        <f>IF(A52="","",'0'!$X$52)</f>
        <v/>
      </c>
      <c r="P52" s="148"/>
      <c r="Q52" s="148"/>
      <c r="R52" s="148" t="str">
        <f>IF(A52="","",'0'!$Z$52)</f>
        <v/>
      </c>
      <c r="S52" s="148"/>
      <c r="T52" s="148"/>
      <c r="U52" s="149"/>
      <c r="V52" s="150"/>
      <c r="W52" s="150" t="str">
        <f>IF(A52="","",'0'!$Y$52)</f>
        <v/>
      </c>
      <c r="X52" s="148"/>
      <c r="Y52" s="148"/>
      <c r="Z52" s="148"/>
      <c r="AA52" s="148"/>
      <c r="AB52" s="148" t="str">
        <f>IF(A52="","",'0'!$AA$52)</f>
        <v/>
      </c>
      <c r="AC52" s="148" t="str">
        <f>IF(A52="","",'0'!$AD$52)</f>
        <v/>
      </c>
      <c r="AD52" s="150" t="str">
        <f>IF(A52="","",'0'!$AE$52)</f>
        <v/>
      </c>
      <c r="AE52" s="148"/>
      <c r="AF52" s="148"/>
      <c r="AG52" s="148" t="str">
        <f>IF(A52="","",'0'!$AF$52)</f>
        <v/>
      </c>
      <c r="AH52" s="151" t="str">
        <f t="shared" si="1"/>
        <v/>
      </c>
    </row>
    <row r="53" spans="1:34">
      <c r="A53" s="148" t="str">
        <f>IF(OR(IFERROR('0'!$W$53&gt;=$B$3,FALSE),'0'!$AC$53="Forcée",'0'!$X$53&lt;&gt;"",'0'!$AA$53&lt;&gt;""),"0-53","")</f>
        <v/>
      </c>
      <c r="B53" s="148" t="str">
        <f>IF(OR(IFERROR('0'!$W$53&gt;=$B$3,FALSE),'0'!$AC$53="Forcée",'0'!$X$53&lt;&gt;"",'0'!$AA$53&lt;&gt;""),"0","")</f>
        <v/>
      </c>
      <c r="C53" s="148" t="str">
        <f>IF(OR(IFERROR('0'!$W$53&gt;=$B$3,FALSE),'0'!$AC$53="Forcée",'0'!$X$53&lt;&gt;"",'0'!$AA$53&lt;&gt;""),'0'!$A$53,"")</f>
        <v/>
      </c>
      <c r="D53" s="148" t="str">
        <f>IF(OR(IFERROR('0'!$W$53&gt;=$B$3,FALSE),'0'!$AC$53="Forcée",'0'!$X$53&lt;&gt;"",'0'!$AA$53&lt;&gt;""),'0'!$B$53,"")</f>
        <v/>
      </c>
      <c r="E53" s="148" t="str">
        <f>IF(OR(IFERROR('0'!$W$53&gt;=$B$3,FALSE),'0'!$AC$53="Forcée",'0'!$X$53&lt;&gt;"",'0'!$AA$53&lt;&gt;""),'0'!$C$53,"")</f>
        <v/>
      </c>
      <c r="F53" s="148" t="str">
        <f>IF(OR(IFERROR('0'!$W$53&gt;=$B$3,FALSE),'0'!$AC$53="Forcée",'0'!$X$53&lt;&gt;"",'0'!$AA$53&lt;&gt;""),'0'!$D$53,"")</f>
        <v/>
      </c>
      <c r="G53" s="148" t="str">
        <f>IF(OR(IFERROR('0'!$W$53&gt;=$B$3,FALSE),'0'!$AC$53="Forcée",'0'!$X$53&lt;&gt;"",'0'!$AA$53&lt;&gt;""),'0'!$E$53,"")</f>
        <v/>
      </c>
      <c r="H53" s="148" t="str">
        <f>IF(OR(IFERROR('0'!$W$53&gt;=$B$3,FALSE),'0'!$AC$53="Forcée",'0'!$X$53&lt;&gt;"",'0'!$AA$53&lt;&gt;""),'0'!$H$53,"")</f>
        <v/>
      </c>
      <c r="I53" s="148" t="str">
        <f>IF(OR(IFERROR('0'!$W$53&gt;=$B$3,FALSE),'0'!$AC$53="Forcée",'0'!$X$53&lt;&gt;"",'0'!$AA$53&lt;&gt;""),'0'!$W$53,"")</f>
        <v/>
      </c>
      <c r="J53" s="148" t="str">
        <f t="shared" si="0"/>
        <v/>
      </c>
      <c r="K53" s="148" t="str">
        <f>IF(A53="","",IF('0'!$AC$53="Forcée","Forcée",IF('0'!$AC$53="Exclue","Exclue","Automatique")))</f>
        <v/>
      </c>
      <c r="L53" s="148" t="str">
        <f>IF(A53="","",IF('0'!$AC$53="Exclue","Exclu",IF('0'!$W$53&gt;=$B$3,"Actif - risque significatif",IF(AND('0'!$W$53&lt;$B$3,'0'!$AD$53="Oui"),"Maîtrisé / clôturable","Maîtrisé - à vérifier"))))</f>
        <v/>
      </c>
      <c r="M53" s="148" t="str">
        <f>IF(A53="","",IF('0'!$W$53&gt;=16,"P1 - Critique",IF('0'!$W$53&gt;=13,"P2 - Haute",IF('0'!$W$53&gt;=9,"P3 - Moyenne","P4 - Basse"))))</f>
        <v/>
      </c>
      <c r="N53" s="148"/>
      <c r="O53" s="148" t="str">
        <f>IF(A53="","",'0'!$X$53)</f>
        <v/>
      </c>
      <c r="P53" s="148"/>
      <c r="Q53" s="148"/>
      <c r="R53" s="148" t="str">
        <f>IF(A53="","",'0'!$Z$53)</f>
        <v/>
      </c>
      <c r="S53" s="148"/>
      <c r="T53" s="148"/>
      <c r="U53" s="149"/>
      <c r="V53" s="150"/>
      <c r="W53" s="150" t="str">
        <f>IF(A53="","",'0'!$Y$53)</f>
        <v/>
      </c>
      <c r="X53" s="148"/>
      <c r="Y53" s="148"/>
      <c r="Z53" s="148"/>
      <c r="AA53" s="148"/>
      <c r="AB53" s="148" t="str">
        <f>IF(A53="","",'0'!$AA$53)</f>
        <v/>
      </c>
      <c r="AC53" s="148" t="str">
        <f>IF(A53="","",'0'!$AD$53)</f>
        <v/>
      </c>
      <c r="AD53" s="150" t="str">
        <f>IF(A53="","",'0'!$AE$53)</f>
        <v/>
      </c>
      <c r="AE53" s="148"/>
      <c r="AF53" s="148"/>
      <c r="AG53" s="148" t="str">
        <f>IF(A53="","",'0'!$AF$53)</f>
        <v/>
      </c>
      <c r="AH53" s="151" t="str">
        <f t="shared" si="1"/>
        <v/>
      </c>
    </row>
    <row r="54" spans="1:34">
      <c r="A54" s="148" t="str">
        <f>IF(OR(IFERROR('0'!$W$54&gt;=$B$3,FALSE),'0'!$AC$54="Forcée",'0'!$X$54&lt;&gt;"",'0'!$AA$54&lt;&gt;""),"0-54","")</f>
        <v/>
      </c>
      <c r="B54" s="148" t="str">
        <f>IF(OR(IFERROR('0'!$W$54&gt;=$B$3,FALSE),'0'!$AC$54="Forcée",'0'!$X$54&lt;&gt;"",'0'!$AA$54&lt;&gt;""),"0","")</f>
        <v/>
      </c>
      <c r="C54" s="148" t="str">
        <f>IF(OR(IFERROR('0'!$W$54&gt;=$B$3,FALSE),'0'!$AC$54="Forcée",'0'!$X$54&lt;&gt;"",'0'!$AA$54&lt;&gt;""),'0'!$A$54,"")</f>
        <v/>
      </c>
      <c r="D54" s="148" t="str">
        <f>IF(OR(IFERROR('0'!$W$54&gt;=$B$3,FALSE),'0'!$AC$54="Forcée",'0'!$X$54&lt;&gt;"",'0'!$AA$54&lt;&gt;""),'0'!$B$54,"")</f>
        <v/>
      </c>
      <c r="E54" s="148" t="str">
        <f>IF(OR(IFERROR('0'!$W$54&gt;=$B$3,FALSE),'0'!$AC$54="Forcée",'0'!$X$54&lt;&gt;"",'0'!$AA$54&lt;&gt;""),'0'!$C$54,"")</f>
        <v/>
      </c>
      <c r="F54" s="148" t="str">
        <f>IF(OR(IFERROR('0'!$W$54&gt;=$B$3,FALSE),'0'!$AC$54="Forcée",'0'!$X$54&lt;&gt;"",'0'!$AA$54&lt;&gt;""),'0'!$D$54,"")</f>
        <v/>
      </c>
      <c r="G54" s="148" t="str">
        <f>IF(OR(IFERROR('0'!$W$54&gt;=$B$3,FALSE),'0'!$AC$54="Forcée",'0'!$X$54&lt;&gt;"",'0'!$AA$54&lt;&gt;""),'0'!$E$54,"")</f>
        <v/>
      </c>
      <c r="H54" s="148" t="str">
        <f>IF(OR(IFERROR('0'!$W$54&gt;=$B$3,FALSE),'0'!$AC$54="Forcée",'0'!$X$54&lt;&gt;"",'0'!$AA$54&lt;&gt;""),'0'!$H$54,"")</f>
        <v/>
      </c>
      <c r="I54" s="148" t="str">
        <f>IF(OR(IFERROR('0'!$W$54&gt;=$B$3,FALSE),'0'!$AC$54="Forcée",'0'!$X$54&lt;&gt;"",'0'!$AA$54&lt;&gt;""),'0'!$W$54,"")</f>
        <v/>
      </c>
      <c r="J54" s="148" t="str">
        <f t="shared" si="0"/>
        <v/>
      </c>
      <c r="K54" s="148" t="str">
        <f>IF(A54="","",IF('0'!$AC$54="Forcée","Forcée",IF('0'!$AC$54="Exclue","Exclue","Automatique")))</f>
        <v/>
      </c>
      <c r="L54" s="148" t="str">
        <f>IF(A54="","",IF('0'!$AC$54="Exclue","Exclu",IF('0'!$W$54&gt;=$B$3,"Actif - risque significatif",IF(AND('0'!$W$54&lt;$B$3,'0'!$AD$54="Oui"),"Maîtrisé / clôturable","Maîtrisé - à vérifier"))))</f>
        <v/>
      </c>
      <c r="M54" s="148" t="str">
        <f>IF(A54="","",IF('0'!$W$54&gt;=16,"P1 - Critique",IF('0'!$W$54&gt;=13,"P2 - Haute",IF('0'!$W$54&gt;=9,"P3 - Moyenne","P4 - Basse"))))</f>
        <v/>
      </c>
      <c r="N54" s="148"/>
      <c r="O54" s="148" t="str">
        <f>IF(A54="","",'0'!$X$54)</f>
        <v/>
      </c>
      <c r="P54" s="148"/>
      <c r="Q54" s="148"/>
      <c r="R54" s="148" t="str">
        <f>IF(A54="","",'0'!$Z$54)</f>
        <v/>
      </c>
      <c r="S54" s="148"/>
      <c r="T54" s="148"/>
      <c r="U54" s="149"/>
      <c r="V54" s="150"/>
      <c r="W54" s="150" t="str">
        <f>IF(A54="","",'0'!$Y$54)</f>
        <v/>
      </c>
      <c r="X54" s="148"/>
      <c r="Y54" s="148"/>
      <c r="Z54" s="148"/>
      <c r="AA54" s="148"/>
      <c r="AB54" s="148" t="str">
        <f>IF(A54="","",'0'!$AA$54)</f>
        <v/>
      </c>
      <c r="AC54" s="148" t="str">
        <f>IF(A54="","",'0'!$AD$54)</f>
        <v/>
      </c>
      <c r="AD54" s="150" t="str">
        <f>IF(A54="","",'0'!$AE$54)</f>
        <v/>
      </c>
      <c r="AE54" s="148"/>
      <c r="AF54" s="148"/>
      <c r="AG54" s="148" t="str">
        <f>IF(A54="","",'0'!$AF$54)</f>
        <v/>
      </c>
      <c r="AH54" s="151" t="str">
        <f t="shared" si="1"/>
        <v/>
      </c>
    </row>
    <row r="55" spans="1:34">
      <c r="A55" s="148" t="str">
        <f>IF(OR(IFERROR('0'!$W$55&gt;=$B$3,FALSE),'0'!$AC$55="Forcée",'0'!$X$55&lt;&gt;"",'0'!$AA$55&lt;&gt;""),"0-55","")</f>
        <v/>
      </c>
      <c r="B55" s="148" t="str">
        <f>IF(OR(IFERROR('0'!$W$55&gt;=$B$3,FALSE),'0'!$AC$55="Forcée",'0'!$X$55&lt;&gt;"",'0'!$AA$55&lt;&gt;""),"0","")</f>
        <v/>
      </c>
      <c r="C55" s="148" t="str">
        <f>IF(OR(IFERROR('0'!$W$55&gt;=$B$3,FALSE),'0'!$AC$55="Forcée",'0'!$X$55&lt;&gt;"",'0'!$AA$55&lt;&gt;""),'0'!$A$55,"")</f>
        <v/>
      </c>
      <c r="D55" s="148" t="str">
        <f>IF(OR(IFERROR('0'!$W$55&gt;=$B$3,FALSE),'0'!$AC$55="Forcée",'0'!$X$55&lt;&gt;"",'0'!$AA$55&lt;&gt;""),'0'!$B$55,"")</f>
        <v/>
      </c>
      <c r="E55" s="148" t="str">
        <f>IF(OR(IFERROR('0'!$W$55&gt;=$B$3,FALSE),'0'!$AC$55="Forcée",'0'!$X$55&lt;&gt;"",'0'!$AA$55&lt;&gt;""),'0'!$C$55,"")</f>
        <v/>
      </c>
      <c r="F55" s="148" t="str">
        <f>IF(OR(IFERROR('0'!$W$55&gt;=$B$3,FALSE),'0'!$AC$55="Forcée",'0'!$X$55&lt;&gt;"",'0'!$AA$55&lt;&gt;""),'0'!$D$55,"")</f>
        <v/>
      </c>
      <c r="G55" s="148" t="str">
        <f>IF(OR(IFERROR('0'!$W$55&gt;=$B$3,FALSE),'0'!$AC$55="Forcée",'0'!$X$55&lt;&gt;"",'0'!$AA$55&lt;&gt;""),'0'!$E$55,"")</f>
        <v/>
      </c>
      <c r="H55" s="148" t="str">
        <f>IF(OR(IFERROR('0'!$W$55&gt;=$B$3,FALSE),'0'!$AC$55="Forcée",'0'!$X$55&lt;&gt;"",'0'!$AA$55&lt;&gt;""),'0'!$H$55,"")</f>
        <v/>
      </c>
      <c r="I55" s="148" t="str">
        <f>IF(OR(IFERROR('0'!$W$55&gt;=$B$3,FALSE),'0'!$AC$55="Forcée",'0'!$X$55&lt;&gt;"",'0'!$AA$55&lt;&gt;""),'0'!$W$55,"")</f>
        <v/>
      </c>
      <c r="J55" s="148" t="str">
        <f t="shared" si="0"/>
        <v/>
      </c>
      <c r="K55" s="148" t="str">
        <f>IF(A55="","",IF('0'!$AC$55="Forcée","Forcée",IF('0'!$AC$55="Exclue","Exclue","Automatique")))</f>
        <v/>
      </c>
      <c r="L55" s="148" t="str">
        <f>IF(A55="","",IF('0'!$AC$55="Exclue","Exclu",IF('0'!$W$55&gt;=$B$3,"Actif - risque significatif",IF(AND('0'!$W$55&lt;$B$3,'0'!$AD$55="Oui"),"Maîtrisé / clôturable","Maîtrisé - à vérifier"))))</f>
        <v/>
      </c>
      <c r="M55" s="148" t="str">
        <f>IF(A55="","",IF('0'!$W$55&gt;=16,"P1 - Critique",IF('0'!$W$55&gt;=13,"P2 - Haute",IF('0'!$W$55&gt;=9,"P3 - Moyenne","P4 - Basse"))))</f>
        <v/>
      </c>
      <c r="N55" s="148"/>
      <c r="O55" s="148" t="str">
        <f>IF(A55="","",'0'!$X$55)</f>
        <v/>
      </c>
      <c r="P55" s="148"/>
      <c r="Q55" s="148"/>
      <c r="R55" s="148" t="str">
        <f>IF(A55="","",'0'!$Z$55)</f>
        <v/>
      </c>
      <c r="S55" s="148"/>
      <c r="T55" s="148"/>
      <c r="U55" s="149"/>
      <c r="V55" s="150"/>
      <c r="W55" s="150" t="str">
        <f>IF(A55="","",'0'!$Y$55)</f>
        <v/>
      </c>
      <c r="X55" s="148"/>
      <c r="Y55" s="148"/>
      <c r="Z55" s="148"/>
      <c r="AA55" s="148"/>
      <c r="AB55" s="148" t="str">
        <f>IF(A55="","",'0'!$AA$55)</f>
        <v/>
      </c>
      <c r="AC55" s="148" t="str">
        <f>IF(A55="","",'0'!$AD$55)</f>
        <v/>
      </c>
      <c r="AD55" s="150" t="str">
        <f>IF(A55="","",'0'!$AE$55)</f>
        <v/>
      </c>
      <c r="AE55" s="148"/>
      <c r="AF55" s="148"/>
      <c r="AG55" s="148" t="str">
        <f>IF(A55="","",'0'!$AF$55)</f>
        <v/>
      </c>
      <c r="AH55" s="151" t="str">
        <f t="shared" si="1"/>
        <v/>
      </c>
    </row>
    <row r="56" spans="1:34">
      <c r="A56" s="148" t="str">
        <f>IF(OR(IFERROR('0'!$W$56&gt;=$B$3,FALSE),'0'!$AC$56="Forcée",'0'!$X$56&lt;&gt;"",'0'!$AA$56&lt;&gt;""),"0-56","")</f>
        <v/>
      </c>
      <c r="B56" s="148" t="str">
        <f>IF(OR(IFERROR('0'!$W$56&gt;=$B$3,FALSE),'0'!$AC$56="Forcée",'0'!$X$56&lt;&gt;"",'0'!$AA$56&lt;&gt;""),"0","")</f>
        <v/>
      </c>
      <c r="C56" s="148" t="str">
        <f>IF(OR(IFERROR('0'!$W$56&gt;=$B$3,FALSE),'0'!$AC$56="Forcée",'0'!$X$56&lt;&gt;"",'0'!$AA$56&lt;&gt;""),'0'!$A$56,"")</f>
        <v/>
      </c>
      <c r="D56" s="148" t="str">
        <f>IF(OR(IFERROR('0'!$W$56&gt;=$B$3,FALSE),'0'!$AC$56="Forcée",'0'!$X$56&lt;&gt;"",'0'!$AA$56&lt;&gt;""),'0'!$B$56,"")</f>
        <v/>
      </c>
      <c r="E56" s="148" t="str">
        <f>IF(OR(IFERROR('0'!$W$56&gt;=$B$3,FALSE),'0'!$AC$56="Forcée",'0'!$X$56&lt;&gt;"",'0'!$AA$56&lt;&gt;""),'0'!$C$56,"")</f>
        <v/>
      </c>
      <c r="F56" s="148" t="str">
        <f>IF(OR(IFERROR('0'!$W$56&gt;=$B$3,FALSE),'0'!$AC$56="Forcée",'0'!$X$56&lt;&gt;"",'0'!$AA$56&lt;&gt;""),'0'!$D$56,"")</f>
        <v/>
      </c>
      <c r="G56" s="148" t="str">
        <f>IF(OR(IFERROR('0'!$W$56&gt;=$B$3,FALSE),'0'!$AC$56="Forcée",'0'!$X$56&lt;&gt;"",'0'!$AA$56&lt;&gt;""),'0'!$E$56,"")</f>
        <v/>
      </c>
      <c r="H56" s="148" t="str">
        <f>IF(OR(IFERROR('0'!$W$56&gt;=$B$3,FALSE),'0'!$AC$56="Forcée",'0'!$X$56&lt;&gt;"",'0'!$AA$56&lt;&gt;""),'0'!$H$56,"")</f>
        <v/>
      </c>
      <c r="I56" s="148" t="str">
        <f>IF(OR(IFERROR('0'!$W$56&gt;=$B$3,FALSE),'0'!$AC$56="Forcée",'0'!$X$56&lt;&gt;"",'0'!$AA$56&lt;&gt;""),'0'!$W$56,"")</f>
        <v/>
      </c>
      <c r="J56" s="148" t="str">
        <f t="shared" si="0"/>
        <v/>
      </c>
      <c r="K56" s="148" t="str">
        <f>IF(A56="","",IF('0'!$AC$56="Forcée","Forcée",IF('0'!$AC$56="Exclue","Exclue","Automatique")))</f>
        <v/>
      </c>
      <c r="L56" s="148" t="str">
        <f>IF(A56="","",IF('0'!$AC$56="Exclue","Exclu",IF('0'!$W$56&gt;=$B$3,"Actif - risque significatif",IF(AND('0'!$W$56&lt;$B$3,'0'!$AD$56="Oui"),"Maîtrisé / clôturable","Maîtrisé - à vérifier"))))</f>
        <v/>
      </c>
      <c r="M56" s="148" t="str">
        <f>IF(A56="","",IF('0'!$W$56&gt;=16,"P1 - Critique",IF('0'!$W$56&gt;=13,"P2 - Haute",IF('0'!$W$56&gt;=9,"P3 - Moyenne","P4 - Basse"))))</f>
        <v/>
      </c>
      <c r="N56" s="148"/>
      <c r="O56" s="148" t="str">
        <f>IF(A56="","",'0'!$X$56)</f>
        <v/>
      </c>
      <c r="P56" s="148"/>
      <c r="Q56" s="148"/>
      <c r="R56" s="148" t="str">
        <f>IF(A56="","",'0'!$Z$56)</f>
        <v/>
      </c>
      <c r="S56" s="148"/>
      <c r="T56" s="148"/>
      <c r="U56" s="149"/>
      <c r="V56" s="150"/>
      <c r="W56" s="150" t="str">
        <f>IF(A56="","",'0'!$Y$56)</f>
        <v/>
      </c>
      <c r="X56" s="148"/>
      <c r="Y56" s="148"/>
      <c r="Z56" s="148"/>
      <c r="AA56" s="148"/>
      <c r="AB56" s="148" t="str">
        <f>IF(A56="","",'0'!$AA$56)</f>
        <v/>
      </c>
      <c r="AC56" s="148" t="str">
        <f>IF(A56="","",'0'!$AD$56)</f>
        <v/>
      </c>
      <c r="AD56" s="150" t="str">
        <f>IF(A56="","",'0'!$AE$56)</f>
        <v/>
      </c>
      <c r="AE56" s="148"/>
      <c r="AF56" s="148"/>
      <c r="AG56" s="148" t="str">
        <f>IF(A56="","",'0'!$AF$56)</f>
        <v/>
      </c>
      <c r="AH56" s="151" t="str">
        <f t="shared" si="1"/>
        <v/>
      </c>
    </row>
    <row r="57" spans="1:34">
      <c r="A57" s="148" t="str">
        <f>IF(OR(IFERROR('0'!$W$57&gt;=$B$3,FALSE),'0'!$AC$57="Forcée",'0'!$X$57&lt;&gt;"",'0'!$AA$57&lt;&gt;""),"0-57","")</f>
        <v/>
      </c>
      <c r="B57" s="148" t="str">
        <f>IF(OR(IFERROR('0'!$W$57&gt;=$B$3,FALSE),'0'!$AC$57="Forcée",'0'!$X$57&lt;&gt;"",'0'!$AA$57&lt;&gt;""),"0","")</f>
        <v/>
      </c>
      <c r="C57" s="148" t="str">
        <f>IF(OR(IFERROR('0'!$W$57&gt;=$B$3,FALSE),'0'!$AC$57="Forcée",'0'!$X$57&lt;&gt;"",'0'!$AA$57&lt;&gt;""),'0'!$A$57,"")</f>
        <v/>
      </c>
      <c r="D57" s="148" t="str">
        <f>IF(OR(IFERROR('0'!$W$57&gt;=$B$3,FALSE),'0'!$AC$57="Forcée",'0'!$X$57&lt;&gt;"",'0'!$AA$57&lt;&gt;""),'0'!$B$57,"")</f>
        <v/>
      </c>
      <c r="E57" s="148" t="str">
        <f>IF(OR(IFERROR('0'!$W$57&gt;=$B$3,FALSE),'0'!$AC$57="Forcée",'0'!$X$57&lt;&gt;"",'0'!$AA$57&lt;&gt;""),'0'!$C$57,"")</f>
        <v/>
      </c>
      <c r="F57" s="148" t="str">
        <f>IF(OR(IFERROR('0'!$W$57&gt;=$B$3,FALSE),'0'!$AC$57="Forcée",'0'!$X$57&lt;&gt;"",'0'!$AA$57&lt;&gt;""),'0'!$D$57,"")</f>
        <v/>
      </c>
      <c r="G57" s="148" t="str">
        <f>IF(OR(IFERROR('0'!$W$57&gt;=$B$3,FALSE),'0'!$AC$57="Forcée",'0'!$X$57&lt;&gt;"",'0'!$AA$57&lt;&gt;""),'0'!$E$57,"")</f>
        <v/>
      </c>
      <c r="H57" s="148" t="str">
        <f>IF(OR(IFERROR('0'!$W$57&gt;=$B$3,FALSE),'0'!$AC$57="Forcée",'0'!$X$57&lt;&gt;"",'0'!$AA$57&lt;&gt;""),'0'!$H$57,"")</f>
        <v/>
      </c>
      <c r="I57" s="148" t="str">
        <f>IF(OR(IFERROR('0'!$W$57&gt;=$B$3,FALSE),'0'!$AC$57="Forcée",'0'!$X$57&lt;&gt;"",'0'!$AA$57&lt;&gt;""),'0'!$W$57,"")</f>
        <v/>
      </c>
      <c r="J57" s="148" t="str">
        <f t="shared" si="0"/>
        <v/>
      </c>
      <c r="K57" s="148" t="str">
        <f>IF(A57="","",IF('0'!$AC$57="Forcée","Forcée",IF('0'!$AC$57="Exclue","Exclue","Automatique")))</f>
        <v/>
      </c>
      <c r="L57" s="148" t="str">
        <f>IF(A57="","",IF('0'!$AC$57="Exclue","Exclu",IF('0'!$W$57&gt;=$B$3,"Actif - risque significatif",IF(AND('0'!$W$57&lt;$B$3,'0'!$AD$57="Oui"),"Maîtrisé / clôturable","Maîtrisé - à vérifier"))))</f>
        <v/>
      </c>
      <c r="M57" s="148" t="str">
        <f>IF(A57="","",IF('0'!$W$57&gt;=16,"P1 - Critique",IF('0'!$W$57&gt;=13,"P2 - Haute",IF('0'!$W$57&gt;=9,"P3 - Moyenne","P4 - Basse"))))</f>
        <v/>
      </c>
      <c r="N57" s="148"/>
      <c r="O57" s="148" t="str">
        <f>IF(A57="","",'0'!$X$57)</f>
        <v/>
      </c>
      <c r="P57" s="148"/>
      <c r="Q57" s="148"/>
      <c r="R57" s="148" t="str">
        <f>IF(A57="","",'0'!$Z$57)</f>
        <v/>
      </c>
      <c r="S57" s="148"/>
      <c r="T57" s="148"/>
      <c r="U57" s="149"/>
      <c r="V57" s="150"/>
      <c r="W57" s="150" t="str">
        <f>IF(A57="","",'0'!$Y$57)</f>
        <v/>
      </c>
      <c r="X57" s="148"/>
      <c r="Y57" s="148"/>
      <c r="Z57" s="148"/>
      <c r="AA57" s="148"/>
      <c r="AB57" s="148" t="str">
        <f>IF(A57="","",'0'!$AA$57)</f>
        <v/>
      </c>
      <c r="AC57" s="148" t="str">
        <f>IF(A57="","",'0'!$AD$57)</f>
        <v/>
      </c>
      <c r="AD57" s="150" t="str">
        <f>IF(A57="","",'0'!$AE$57)</f>
        <v/>
      </c>
      <c r="AE57" s="148"/>
      <c r="AF57" s="148"/>
      <c r="AG57" s="148" t="str">
        <f>IF(A57="","",'0'!$AF$57)</f>
        <v/>
      </c>
      <c r="AH57" s="151" t="str">
        <f t="shared" si="1"/>
        <v/>
      </c>
    </row>
    <row r="58" spans="1:34">
      <c r="A58" s="148" t="str">
        <f>IF(OR(IFERROR('0'!$W$58&gt;=$B$3,FALSE),'0'!$AC$58="Forcée",'0'!$X$58&lt;&gt;"",'0'!$AA$58&lt;&gt;""),"0-58","")</f>
        <v/>
      </c>
      <c r="B58" s="148" t="str">
        <f>IF(OR(IFERROR('0'!$W$58&gt;=$B$3,FALSE),'0'!$AC$58="Forcée",'0'!$X$58&lt;&gt;"",'0'!$AA$58&lt;&gt;""),"0","")</f>
        <v/>
      </c>
      <c r="C58" s="148" t="str">
        <f>IF(OR(IFERROR('0'!$W$58&gt;=$B$3,FALSE),'0'!$AC$58="Forcée",'0'!$X$58&lt;&gt;"",'0'!$AA$58&lt;&gt;""),'0'!$A$58,"")</f>
        <v/>
      </c>
      <c r="D58" s="148" t="str">
        <f>IF(OR(IFERROR('0'!$W$58&gt;=$B$3,FALSE),'0'!$AC$58="Forcée",'0'!$X$58&lt;&gt;"",'0'!$AA$58&lt;&gt;""),'0'!$B$58,"")</f>
        <v/>
      </c>
      <c r="E58" s="148" t="str">
        <f>IF(OR(IFERROR('0'!$W$58&gt;=$B$3,FALSE),'0'!$AC$58="Forcée",'0'!$X$58&lt;&gt;"",'0'!$AA$58&lt;&gt;""),'0'!$C$58,"")</f>
        <v/>
      </c>
      <c r="F58" s="148" t="str">
        <f>IF(OR(IFERROR('0'!$W$58&gt;=$B$3,FALSE),'0'!$AC$58="Forcée",'0'!$X$58&lt;&gt;"",'0'!$AA$58&lt;&gt;""),'0'!$D$58,"")</f>
        <v/>
      </c>
      <c r="G58" s="148" t="str">
        <f>IF(OR(IFERROR('0'!$W$58&gt;=$B$3,FALSE),'0'!$AC$58="Forcée",'0'!$X$58&lt;&gt;"",'0'!$AA$58&lt;&gt;""),'0'!$E$58,"")</f>
        <v/>
      </c>
      <c r="H58" s="148" t="str">
        <f>IF(OR(IFERROR('0'!$W$58&gt;=$B$3,FALSE),'0'!$AC$58="Forcée",'0'!$X$58&lt;&gt;"",'0'!$AA$58&lt;&gt;""),'0'!$H$58,"")</f>
        <v/>
      </c>
      <c r="I58" s="148" t="str">
        <f>IF(OR(IFERROR('0'!$W$58&gt;=$B$3,FALSE),'0'!$AC$58="Forcée",'0'!$X$58&lt;&gt;"",'0'!$AA$58&lt;&gt;""),'0'!$W$58,"")</f>
        <v/>
      </c>
      <c r="J58" s="148" t="str">
        <f t="shared" si="0"/>
        <v/>
      </c>
      <c r="K58" s="148" t="str">
        <f>IF(A58="","",IF('0'!$AC$58="Forcée","Forcée",IF('0'!$AC$58="Exclue","Exclue","Automatique")))</f>
        <v/>
      </c>
      <c r="L58" s="148" t="str">
        <f>IF(A58="","",IF('0'!$AC$58="Exclue","Exclu",IF('0'!$W$58&gt;=$B$3,"Actif - risque significatif",IF(AND('0'!$W$58&lt;$B$3,'0'!$AD$58="Oui"),"Maîtrisé / clôturable","Maîtrisé - à vérifier"))))</f>
        <v/>
      </c>
      <c r="M58" s="148" t="str">
        <f>IF(A58="","",IF('0'!$W$58&gt;=16,"P1 - Critique",IF('0'!$W$58&gt;=13,"P2 - Haute",IF('0'!$W$58&gt;=9,"P3 - Moyenne","P4 - Basse"))))</f>
        <v/>
      </c>
      <c r="N58" s="148"/>
      <c r="O58" s="148" t="str">
        <f>IF(A58="","",'0'!$X$58)</f>
        <v/>
      </c>
      <c r="P58" s="148"/>
      <c r="Q58" s="148"/>
      <c r="R58" s="148" t="str">
        <f>IF(A58="","",'0'!$Z$58)</f>
        <v/>
      </c>
      <c r="S58" s="148"/>
      <c r="T58" s="148"/>
      <c r="U58" s="149"/>
      <c r="V58" s="150"/>
      <c r="W58" s="150" t="str">
        <f>IF(A58="","",'0'!$Y$58)</f>
        <v/>
      </c>
      <c r="X58" s="148"/>
      <c r="Y58" s="148"/>
      <c r="Z58" s="148"/>
      <c r="AA58" s="148"/>
      <c r="AB58" s="148" t="str">
        <f>IF(A58="","",'0'!$AA$58)</f>
        <v/>
      </c>
      <c r="AC58" s="148" t="str">
        <f>IF(A58="","",'0'!$AD$58)</f>
        <v/>
      </c>
      <c r="AD58" s="150" t="str">
        <f>IF(A58="","",'0'!$AE$58)</f>
        <v/>
      </c>
      <c r="AE58" s="148"/>
      <c r="AF58" s="148"/>
      <c r="AG58" s="148" t="str">
        <f>IF(A58="","",'0'!$AF$58)</f>
        <v/>
      </c>
      <c r="AH58" s="151" t="str">
        <f t="shared" si="1"/>
        <v/>
      </c>
    </row>
    <row r="59" spans="1:34">
      <c r="A59" s="148" t="str">
        <f>IF(OR(IFERROR('0'!$W$59&gt;=$B$3,FALSE),'0'!$AC$59="Forcée",'0'!$X$59&lt;&gt;"",'0'!$AA$59&lt;&gt;""),"0-59","")</f>
        <v/>
      </c>
      <c r="B59" s="148" t="str">
        <f>IF(OR(IFERROR('0'!$W$59&gt;=$B$3,FALSE),'0'!$AC$59="Forcée",'0'!$X$59&lt;&gt;"",'0'!$AA$59&lt;&gt;""),"0","")</f>
        <v/>
      </c>
      <c r="C59" s="148" t="str">
        <f>IF(OR(IFERROR('0'!$W$59&gt;=$B$3,FALSE),'0'!$AC$59="Forcée",'0'!$X$59&lt;&gt;"",'0'!$AA$59&lt;&gt;""),'0'!$A$59,"")</f>
        <v/>
      </c>
      <c r="D59" s="148" t="str">
        <f>IF(OR(IFERROR('0'!$W$59&gt;=$B$3,FALSE),'0'!$AC$59="Forcée",'0'!$X$59&lt;&gt;"",'0'!$AA$59&lt;&gt;""),'0'!$B$59,"")</f>
        <v/>
      </c>
      <c r="E59" s="148" t="str">
        <f>IF(OR(IFERROR('0'!$W$59&gt;=$B$3,FALSE),'0'!$AC$59="Forcée",'0'!$X$59&lt;&gt;"",'0'!$AA$59&lt;&gt;""),'0'!$C$59,"")</f>
        <v/>
      </c>
      <c r="F59" s="148" t="str">
        <f>IF(OR(IFERROR('0'!$W$59&gt;=$B$3,FALSE),'0'!$AC$59="Forcée",'0'!$X$59&lt;&gt;"",'0'!$AA$59&lt;&gt;""),'0'!$D$59,"")</f>
        <v/>
      </c>
      <c r="G59" s="148" t="str">
        <f>IF(OR(IFERROR('0'!$W$59&gt;=$B$3,FALSE),'0'!$AC$59="Forcée",'0'!$X$59&lt;&gt;"",'0'!$AA$59&lt;&gt;""),'0'!$E$59,"")</f>
        <v/>
      </c>
      <c r="H59" s="148" t="str">
        <f>IF(OR(IFERROR('0'!$W$59&gt;=$B$3,FALSE),'0'!$AC$59="Forcée",'0'!$X$59&lt;&gt;"",'0'!$AA$59&lt;&gt;""),'0'!$H$59,"")</f>
        <v/>
      </c>
      <c r="I59" s="148" t="str">
        <f>IF(OR(IFERROR('0'!$W$59&gt;=$B$3,FALSE),'0'!$AC$59="Forcée",'0'!$X$59&lt;&gt;"",'0'!$AA$59&lt;&gt;""),'0'!$W$59,"")</f>
        <v/>
      </c>
      <c r="J59" s="148" t="str">
        <f t="shared" si="0"/>
        <v/>
      </c>
      <c r="K59" s="148" t="str">
        <f>IF(A59="","",IF('0'!$AC$59="Forcée","Forcée",IF('0'!$AC$59="Exclue","Exclue","Automatique")))</f>
        <v/>
      </c>
      <c r="L59" s="148" t="str">
        <f>IF(A59="","",IF('0'!$AC$59="Exclue","Exclu",IF('0'!$W$59&gt;=$B$3,"Actif - risque significatif",IF(AND('0'!$W$59&lt;$B$3,'0'!$AD$59="Oui"),"Maîtrisé / clôturable","Maîtrisé - à vérifier"))))</f>
        <v/>
      </c>
      <c r="M59" s="148" t="str">
        <f>IF(A59="","",IF('0'!$W$59&gt;=16,"P1 - Critique",IF('0'!$W$59&gt;=13,"P2 - Haute",IF('0'!$W$59&gt;=9,"P3 - Moyenne","P4 - Basse"))))</f>
        <v/>
      </c>
      <c r="N59" s="148"/>
      <c r="O59" s="148" t="str">
        <f>IF(A59="","",'0'!$X$59)</f>
        <v/>
      </c>
      <c r="P59" s="148"/>
      <c r="Q59" s="148"/>
      <c r="R59" s="148" t="str">
        <f>IF(A59="","",'0'!$Z$59)</f>
        <v/>
      </c>
      <c r="S59" s="148"/>
      <c r="T59" s="148"/>
      <c r="U59" s="149"/>
      <c r="V59" s="150"/>
      <c r="W59" s="150" t="str">
        <f>IF(A59="","",'0'!$Y$59)</f>
        <v/>
      </c>
      <c r="X59" s="148"/>
      <c r="Y59" s="148"/>
      <c r="Z59" s="148"/>
      <c r="AA59" s="148"/>
      <c r="AB59" s="148" t="str">
        <f>IF(A59="","",'0'!$AA$59)</f>
        <v/>
      </c>
      <c r="AC59" s="148" t="str">
        <f>IF(A59="","",'0'!$AD$59)</f>
        <v/>
      </c>
      <c r="AD59" s="150" t="str">
        <f>IF(A59="","",'0'!$AE$59)</f>
        <v/>
      </c>
      <c r="AE59" s="148"/>
      <c r="AF59" s="148"/>
      <c r="AG59" s="148" t="str">
        <f>IF(A59="","",'0'!$AF$59)</f>
        <v/>
      </c>
      <c r="AH59" s="151" t="str">
        <f t="shared" si="1"/>
        <v/>
      </c>
    </row>
    <row r="60" spans="1:34">
      <c r="A60" s="148" t="str">
        <f>IF(OR(IFERROR('0'!$W$60&gt;=$B$3,FALSE),'0'!$AC$60="Forcée",'0'!$X$60&lt;&gt;"",'0'!$AA$60&lt;&gt;""),"0-60","")</f>
        <v/>
      </c>
      <c r="B60" s="148" t="str">
        <f>IF(OR(IFERROR('0'!$W$60&gt;=$B$3,FALSE),'0'!$AC$60="Forcée",'0'!$X$60&lt;&gt;"",'0'!$AA$60&lt;&gt;""),"0","")</f>
        <v/>
      </c>
      <c r="C60" s="148" t="str">
        <f>IF(OR(IFERROR('0'!$W$60&gt;=$B$3,FALSE),'0'!$AC$60="Forcée",'0'!$X$60&lt;&gt;"",'0'!$AA$60&lt;&gt;""),'0'!$A$60,"")</f>
        <v/>
      </c>
      <c r="D60" s="148" t="str">
        <f>IF(OR(IFERROR('0'!$W$60&gt;=$B$3,FALSE),'0'!$AC$60="Forcée",'0'!$X$60&lt;&gt;"",'0'!$AA$60&lt;&gt;""),'0'!$B$60,"")</f>
        <v/>
      </c>
      <c r="E60" s="148" t="str">
        <f>IF(OR(IFERROR('0'!$W$60&gt;=$B$3,FALSE),'0'!$AC$60="Forcée",'0'!$X$60&lt;&gt;"",'0'!$AA$60&lt;&gt;""),'0'!$C$60,"")</f>
        <v/>
      </c>
      <c r="F60" s="148" t="str">
        <f>IF(OR(IFERROR('0'!$W$60&gt;=$B$3,FALSE),'0'!$AC$60="Forcée",'0'!$X$60&lt;&gt;"",'0'!$AA$60&lt;&gt;""),'0'!$D$60,"")</f>
        <v/>
      </c>
      <c r="G60" s="148" t="str">
        <f>IF(OR(IFERROR('0'!$W$60&gt;=$B$3,FALSE),'0'!$AC$60="Forcée",'0'!$X$60&lt;&gt;"",'0'!$AA$60&lt;&gt;""),'0'!$E$60,"")</f>
        <v/>
      </c>
      <c r="H60" s="148" t="str">
        <f>IF(OR(IFERROR('0'!$W$60&gt;=$B$3,FALSE),'0'!$AC$60="Forcée",'0'!$X$60&lt;&gt;"",'0'!$AA$60&lt;&gt;""),'0'!$H$60,"")</f>
        <v/>
      </c>
      <c r="I60" s="148" t="str">
        <f>IF(OR(IFERROR('0'!$W$60&gt;=$B$3,FALSE),'0'!$AC$60="Forcée",'0'!$X$60&lt;&gt;"",'0'!$AA$60&lt;&gt;""),'0'!$W$60,"")</f>
        <v/>
      </c>
      <c r="J60" s="148" t="str">
        <f t="shared" si="0"/>
        <v/>
      </c>
      <c r="K60" s="148" t="str">
        <f>IF(A60="","",IF('0'!$AC$60="Forcée","Forcée",IF('0'!$AC$60="Exclue","Exclue","Automatique")))</f>
        <v/>
      </c>
      <c r="L60" s="148" t="str">
        <f>IF(A60="","",IF('0'!$AC$60="Exclue","Exclu",IF('0'!$W$60&gt;=$B$3,"Actif - risque significatif",IF(AND('0'!$W$60&lt;$B$3,'0'!$AD$60="Oui"),"Maîtrisé / clôturable","Maîtrisé - à vérifier"))))</f>
        <v/>
      </c>
      <c r="M60" s="148" t="str">
        <f>IF(A60="","",IF('0'!$W$60&gt;=16,"P1 - Critique",IF('0'!$W$60&gt;=13,"P2 - Haute",IF('0'!$W$60&gt;=9,"P3 - Moyenne","P4 - Basse"))))</f>
        <v/>
      </c>
      <c r="N60" s="148"/>
      <c r="O60" s="148" t="str">
        <f>IF(A60="","",'0'!$X$60)</f>
        <v/>
      </c>
      <c r="P60" s="148"/>
      <c r="Q60" s="148"/>
      <c r="R60" s="148" t="str">
        <f>IF(A60="","",'0'!$Z$60)</f>
        <v/>
      </c>
      <c r="S60" s="148"/>
      <c r="T60" s="148"/>
      <c r="U60" s="149"/>
      <c r="V60" s="150"/>
      <c r="W60" s="150" t="str">
        <f>IF(A60="","",'0'!$Y$60)</f>
        <v/>
      </c>
      <c r="X60" s="148"/>
      <c r="Y60" s="148"/>
      <c r="Z60" s="148"/>
      <c r="AA60" s="148"/>
      <c r="AB60" s="148" t="str">
        <f>IF(A60="","",'0'!$AA$60)</f>
        <v/>
      </c>
      <c r="AC60" s="148" t="str">
        <f>IF(A60="","",'0'!$AD$60)</f>
        <v/>
      </c>
      <c r="AD60" s="150" t="str">
        <f>IF(A60="","",'0'!$AE$60)</f>
        <v/>
      </c>
      <c r="AE60" s="148"/>
      <c r="AF60" s="148"/>
      <c r="AG60" s="148" t="str">
        <f>IF(A60="","",'0'!$AF$60)</f>
        <v/>
      </c>
      <c r="AH60" s="151" t="str">
        <f t="shared" si="1"/>
        <v/>
      </c>
    </row>
    <row r="61" spans="1:34">
      <c r="A61" s="148" t="str">
        <f>IF(OR(IFERROR('0'!$W$61&gt;=$B$3,FALSE),'0'!$AC$61="Forcée",'0'!$X$61&lt;&gt;"",'0'!$AA$61&lt;&gt;""),"0-61","")</f>
        <v/>
      </c>
      <c r="B61" s="148" t="str">
        <f>IF(OR(IFERROR('0'!$W$61&gt;=$B$3,FALSE),'0'!$AC$61="Forcée",'0'!$X$61&lt;&gt;"",'0'!$AA$61&lt;&gt;""),"0","")</f>
        <v/>
      </c>
      <c r="C61" s="148" t="str">
        <f>IF(OR(IFERROR('0'!$W$61&gt;=$B$3,FALSE),'0'!$AC$61="Forcée",'0'!$X$61&lt;&gt;"",'0'!$AA$61&lt;&gt;""),'0'!$A$61,"")</f>
        <v/>
      </c>
      <c r="D61" s="148" t="str">
        <f>IF(OR(IFERROR('0'!$W$61&gt;=$B$3,FALSE),'0'!$AC$61="Forcée",'0'!$X$61&lt;&gt;"",'0'!$AA$61&lt;&gt;""),'0'!$B$61,"")</f>
        <v/>
      </c>
      <c r="E61" s="148" t="str">
        <f>IF(OR(IFERROR('0'!$W$61&gt;=$B$3,FALSE),'0'!$AC$61="Forcée",'0'!$X$61&lt;&gt;"",'0'!$AA$61&lt;&gt;""),'0'!$C$61,"")</f>
        <v/>
      </c>
      <c r="F61" s="148" t="str">
        <f>IF(OR(IFERROR('0'!$W$61&gt;=$B$3,FALSE),'0'!$AC$61="Forcée",'0'!$X$61&lt;&gt;"",'0'!$AA$61&lt;&gt;""),'0'!$D$61,"")</f>
        <v/>
      </c>
      <c r="G61" s="148" t="str">
        <f>IF(OR(IFERROR('0'!$W$61&gt;=$B$3,FALSE),'0'!$AC$61="Forcée",'0'!$X$61&lt;&gt;"",'0'!$AA$61&lt;&gt;""),'0'!$E$61,"")</f>
        <v/>
      </c>
      <c r="H61" s="148" t="str">
        <f>IF(OR(IFERROR('0'!$W$61&gt;=$B$3,FALSE),'0'!$AC$61="Forcée",'0'!$X$61&lt;&gt;"",'0'!$AA$61&lt;&gt;""),'0'!$H$61,"")</f>
        <v/>
      </c>
      <c r="I61" s="148" t="str">
        <f>IF(OR(IFERROR('0'!$W$61&gt;=$B$3,FALSE),'0'!$AC$61="Forcée",'0'!$X$61&lt;&gt;"",'0'!$AA$61&lt;&gt;""),'0'!$W$61,"")</f>
        <v/>
      </c>
      <c r="J61" s="148" t="str">
        <f t="shared" si="0"/>
        <v/>
      </c>
      <c r="K61" s="148" t="str">
        <f>IF(A61="","",IF('0'!$AC$61="Forcée","Forcée",IF('0'!$AC$61="Exclue","Exclue","Automatique")))</f>
        <v/>
      </c>
      <c r="L61" s="148" t="str">
        <f>IF(A61="","",IF('0'!$AC$61="Exclue","Exclu",IF('0'!$W$61&gt;=$B$3,"Actif - risque significatif",IF(AND('0'!$W$61&lt;$B$3,'0'!$AD$61="Oui"),"Maîtrisé / clôturable","Maîtrisé - à vérifier"))))</f>
        <v/>
      </c>
      <c r="M61" s="148" t="str">
        <f>IF(A61="","",IF('0'!$W$61&gt;=16,"P1 - Critique",IF('0'!$W$61&gt;=13,"P2 - Haute",IF('0'!$W$61&gt;=9,"P3 - Moyenne","P4 - Basse"))))</f>
        <v/>
      </c>
      <c r="N61" s="148"/>
      <c r="O61" s="148" t="str">
        <f>IF(A61="","",'0'!$X$61)</f>
        <v/>
      </c>
      <c r="P61" s="148"/>
      <c r="Q61" s="148"/>
      <c r="R61" s="148" t="str">
        <f>IF(A61="","",'0'!$Z$61)</f>
        <v/>
      </c>
      <c r="S61" s="148"/>
      <c r="T61" s="148"/>
      <c r="U61" s="149"/>
      <c r="V61" s="150"/>
      <c r="W61" s="150" t="str">
        <f>IF(A61="","",'0'!$Y$61)</f>
        <v/>
      </c>
      <c r="X61" s="148"/>
      <c r="Y61" s="148"/>
      <c r="Z61" s="148"/>
      <c r="AA61" s="148"/>
      <c r="AB61" s="148" t="str">
        <f>IF(A61="","",'0'!$AA$61)</f>
        <v/>
      </c>
      <c r="AC61" s="148" t="str">
        <f>IF(A61="","",'0'!$AD$61)</f>
        <v/>
      </c>
      <c r="AD61" s="150" t="str">
        <f>IF(A61="","",'0'!$AE$61)</f>
        <v/>
      </c>
      <c r="AE61" s="148"/>
      <c r="AF61" s="148"/>
      <c r="AG61" s="148" t="str">
        <f>IF(A61="","",'0'!$AF$61)</f>
        <v/>
      </c>
      <c r="AH61" s="151" t="str">
        <f t="shared" si="1"/>
        <v/>
      </c>
    </row>
    <row r="62" spans="1:34">
      <c r="A62" s="148" t="str">
        <f>IF(OR(IFERROR('0'!$W$62&gt;=$B$3,FALSE),'0'!$AC$62="Forcée",'0'!$X$62&lt;&gt;"",'0'!$AA$62&lt;&gt;""),"0-62","")</f>
        <v/>
      </c>
      <c r="B62" s="148" t="str">
        <f>IF(OR(IFERROR('0'!$W$62&gt;=$B$3,FALSE),'0'!$AC$62="Forcée",'0'!$X$62&lt;&gt;"",'0'!$AA$62&lt;&gt;""),"0","")</f>
        <v/>
      </c>
      <c r="C62" s="148" t="str">
        <f>IF(OR(IFERROR('0'!$W$62&gt;=$B$3,FALSE),'0'!$AC$62="Forcée",'0'!$X$62&lt;&gt;"",'0'!$AA$62&lt;&gt;""),'0'!$A$62,"")</f>
        <v/>
      </c>
      <c r="D62" s="148" t="str">
        <f>IF(OR(IFERROR('0'!$W$62&gt;=$B$3,FALSE),'0'!$AC$62="Forcée",'0'!$X$62&lt;&gt;"",'0'!$AA$62&lt;&gt;""),'0'!$B$62,"")</f>
        <v/>
      </c>
      <c r="E62" s="148" t="str">
        <f>IF(OR(IFERROR('0'!$W$62&gt;=$B$3,FALSE),'0'!$AC$62="Forcée",'0'!$X$62&lt;&gt;"",'0'!$AA$62&lt;&gt;""),'0'!$C$62,"")</f>
        <v/>
      </c>
      <c r="F62" s="148" t="str">
        <f>IF(OR(IFERROR('0'!$W$62&gt;=$B$3,FALSE),'0'!$AC$62="Forcée",'0'!$X$62&lt;&gt;"",'0'!$AA$62&lt;&gt;""),'0'!$D$62,"")</f>
        <v/>
      </c>
      <c r="G62" s="148" t="str">
        <f>IF(OR(IFERROR('0'!$W$62&gt;=$B$3,FALSE),'0'!$AC$62="Forcée",'0'!$X$62&lt;&gt;"",'0'!$AA$62&lt;&gt;""),'0'!$E$62,"")</f>
        <v/>
      </c>
      <c r="H62" s="148" t="str">
        <f>IF(OR(IFERROR('0'!$W$62&gt;=$B$3,FALSE),'0'!$AC$62="Forcée",'0'!$X$62&lt;&gt;"",'0'!$AA$62&lt;&gt;""),'0'!$H$62,"")</f>
        <v/>
      </c>
      <c r="I62" s="148" t="str">
        <f>IF(OR(IFERROR('0'!$W$62&gt;=$B$3,FALSE),'0'!$AC$62="Forcée",'0'!$X$62&lt;&gt;"",'0'!$AA$62&lt;&gt;""),'0'!$W$62,"")</f>
        <v/>
      </c>
      <c r="J62" s="148" t="str">
        <f t="shared" si="0"/>
        <v/>
      </c>
      <c r="K62" s="148" t="str">
        <f>IF(A62="","",IF('0'!$AC$62="Forcée","Forcée",IF('0'!$AC$62="Exclue","Exclue","Automatique")))</f>
        <v/>
      </c>
      <c r="L62" s="148" t="str">
        <f>IF(A62="","",IF('0'!$AC$62="Exclue","Exclu",IF('0'!$W$62&gt;=$B$3,"Actif - risque significatif",IF(AND('0'!$W$62&lt;$B$3,'0'!$AD$62="Oui"),"Maîtrisé / clôturable","Maîtrisé - à vérifier"))))</f>
        <v/>
      </c>
      <c r="M62" s="148" t="str">
        <f>IF(A62="","",IF('0'!$W$62&gt;=16,"P1 - Critique",IF('0'!$W$62&gt;=13,"P2 - Haute",IF('0'!$W$62&gt;=9,"P3 - Moyenne","P4 - Basse"))))</f>
        <v/>
      </c>
      <c r="N62" s="148"/>
      <c r="O62" s="148" t="str">
        <f>IF(A62="","",'0'!$X$62)</f>
        <v/>
      </c>
      <c r="P62" s="148"/>
      <c r="Q62" s="148"/>
      <c r="R62" s="148" t="str">
        <f>IF(A62="","",'0'!$Z$62)</f>
        <v/>
      </c>
      <c r="S62" s="148"/>
      <c r="T62" s="148"/>
      <c r="U62" s="149"/>
      <c r="V62" s="150"/>
      <c r="W62" s="150" t="str">
        <f>IF(A62="","",'0'!$Y$62)</f>
        <v/>
      </c>
      <c r="X62" s="148"/>
      <c r="Y62" s="148"/>
      <c r="Z62" s="148"/>
      <c r="AA62" s="148"/>
      <c r="AB62" s="148" t="str">
        <f>IF(A62="","",'0'!$AA$62)</f>
        <v/>
      </c>
      <c r="AC62" s="148" t="str">
        <f>IF(A62="","",'0'!$AD$62)</f>
        <v/>
      </c>
      <c r="AD62" s="150" t="str">
        <f>IF(A62="","",'0'!$AE$62)</f>
        <v/>
      </c>
      <c r="AE62" s="148"/>
      <c r="AF62" s="148"/>
      <c r="AG62" s="148" t="str">
        <f>IF(A62="","",'0'!$AF$62)</f>
        <v/>
      </c>
      <c r="AH62" s="151" t="str">
        <f t="shared" si="1"/>
        <v/>
      </c>
    </row>
    <row r="63" spans="1:34">
      <c r="A63" s="148" t="str">
        <f>IF(OR(IFERROR('0'!$W$63&gt;=$B$3,FALSE),'0'!$AC$63="Forcée",'0'!$X$63&lt;&gt;"",'0'!$AA$63&lt;&gt;""),"0-63","")</f>
        <v/>
      </c>
      <c r="B63" s="148" t="str">
        <f>IF(OR(IFERROR('0'!$W$63&gt;=$B$3,FALSE),'0'!$AC$63="Forcée",'0'!$X$63&lt;&gt;"",'0'!$AA$63&lt;&gt;""),"0","")</f>
        <v/>
      </c>
      <c r="C63" s="148" t="str">
        <f>IF(OR(IFERROR('0'!$W$63&gt;=$B$3,FALSE),'0'!$AC$63="Forcée",'0'!$X$63&lt;&gt;"",'0'!$AA$63&lt;&gt;""),'0'!$A$63,"")</f>
        <v/>
      </c>
      <c r="D63" s="148" t="str">
        <f>IF(OR(IFERROR('0'!$W$63&gt;=$B$3,FALSE),'0'!$AC$63="Forcée",'0'!$X$63&lt;&gt;"",'0'!$AA$63&lt;&gt;""),'0'!$B$63,"")</f>
        <v/>
      </c>
      <c r="E63" s="148" t="str">
        <f>IF(OR(IFERROR('0'!$W$63&gt;=$B$3,FALSE),'0'!$AC$63="Forcée",'0'!$X$63&lt;&gt;"",'0'!$AA$63&lt;&gt;""),'0'!$C$63,"")</f>
        <v/>
      </c>
      <c r="F63" s="148" t="str">
        <f>IF(OR(IFERROR('0'!$W$63&gt;=$B$3,FALSE),'0'!$AC$63="Forcée",'0'!$X$63&lt;&gt;"",'0'!$AA$63&lt;&gt;""),'0'!$D$63,"")</f>
        <v/>
      </c>
      <c r="G63" s="148" t="str">
        <f>IF(OR(IFERROR('0'!$W$63&gt;=$B$3,FALSE),'0'!$AC$63="Forcée",'0'!$X$63&lt;&gt;"",'0'!$AA$63&lt;&gt;""),'0'!$E$63,"")</f>
        <v/>
      </c>
      <c r="H63" s="148" t="str">
        <f>IF(OR(IFERROR('0'!$W$63&gt;=$B$3,FALSE),'0'!$AC$63="Forcée",'0'!$X$63&lt;&gt;"",'0'!$AA$63&lt;&gt;""),'0'!$H$63,"")</f>
        <v/>
      </c>
      <c r="I63" s="148" t="str">
        <f>IF(OR(IFERROR('0'!$W$63&gt;=$B$3,FALSE),'0'!$AC$63="Forcée",'0'!$X$63&lt;&gt;"",'0'!$AA$63&lt;&gt;""),'0'!$W$63,"")</f>
        <v/>
      </c>
      <c r="J63" s="148" t="str">
        <f t="shared" si="0"/>
        <v/>
      </c>
      <c r="K63" s="148" t="str">
        <f>IF(A63="","",IF('0'!$AC$63="Forcée","Forcée",IF('0'!$AC$63="Exclue","Exclue","Automatique")))</f>
        <v/>
      </c>
      <c r="L63" s="148" t="str">
        <f>IF(A63="","",IF('0'!$AC$63="Exclue","Exclu",IF('0'!$W$63&gt;=$B$3,"Actif - risque significatif",IF(AND('0'!$W$63&lt;$B$3,'0'!$AD$63="Oui"),"Maîtrisé / clôturable","Maîtrisé - à vérifier"))))</f>
        <v/>
      </c>
      <c r="M63" s="148" t="str">
        <f>IF(A63="","",IF('0'!$W$63&gt;=16,"P1 - Critique",IF('0'!$W$63&gt;=13,"P2 - Haute",IF('0'!$W$63&gt;=9,"P3 - Moyenne","P4 - Basse"))))</f>
        <v/>
      </c>
      <c r="N63" s="148"/>
      <c r="O63" s="148" t="str">
        <f>IF(A63="","",'0'!$X$63)</f>
        <v/>
      </c>
      <c r="P63" s="148"/>
      <c r="Q63" s="148"/>
      <c r="R63" s="148" t="str">
        <f>IF(A63="","",'0'!$Z$63)</f>
        <v/>
      </c>
      <c r="S63" s="148"/>
      <c r="T63" s="148"/>
      <c r="U63" s="149"/>
      <c r="V63" s="150"/>
      <c r="W63" s="150" t="str">
        <f>IF(A63="","",'0'!$Y$63)</f>
        <v/>
      </c>
      <c r="X63" s="148"/>
      <c r="Y63" s="148"/>
      <c r="Z63" s="148"/>
      <c r="AA63" s="148"/>
      <c r="AB63" s="148" t="str">
        <f>IF(A63="","",'0'!$AA$63)</f>
        <v/>
      </c>
      <c r="AC63" s="148" t="str">
        <f>IF(A63="","",'0'!$AD$63)</f>
        <v/>
      </c>
      <c r="AD63" s="150" t="str">
        <f>IF(A63="","",'0'!$AE$63)</f>
        <v/>
      </c>
      <c r="AE63" s="148"/>
      <c r="AF63" s="148"/>
      <c r="AG63" s="148" t="str">
        <f>IF(A63="","",'0'!$AF$63)</f>
        <v/>
      </c>
      <c r="AH63" s="151" t="str">
        <f t="shared" si="1"/>
        <v/>
      </c>
    </row>
    <row r="64" spans="1:34">
      <c r="A64" s="148" t="str">
        <f>IF(OR(IFERROR('0'!$W$64&gt;=$B$3,FALSE),'0'!$AC$64="Forcée",'0'!$X$64&lt;&gt;"",'0'!$AA$64&lt;&gt;""),"0-64","")</f>
        <v/>
      </c>
      <c r="B64" s="148" t="str">
        <f>IF(OR(IFERROR('0'!$W$64&gt;=$B$3,FALSE),'0'!$AC$64="Forcée",'0'!$X$64&lt;&gt;"",'0'!$AA$64&lt;&gt;""),"0","")</f>
        <v/>
      </c>
      <c r="C64" s="148" t="str">
        <f>IF(OR(IFERROR('0'!$W$64&gt;=$B$3,FALSE),'0'!$AC$64="Forcée",'0'!$X$64&lt;&gt;"",'0'!$AA$64&lt;&gt;""),'0'!$A$64,"")</f>
        <v/>
      </c>
      <c r="D64" s="148" t="str">
        <f>IF(OR(IFERROR('0'!$W$64&gt;=$B$3,FALSE),'0'!$AC$64="Forcée",'0'!$X$64&lt;&gt;"",'0'!$AA$64&lt;&gt;""),'0'!$B$64,"")</f>
        <v/>
      </c>
      <c r="E64" s="148" t="str">
        <f>IF(OR(IFERROR('0'!$W$64&gt;=$B$3,FALSE),'0'!$AC$64="Forcée",'0'!$X$64&lt;&gt;"",'0'!$AA$64&lt;&gt;""),'0'!$C$64,"")</f>
        <v/>
      </c>
      <c r="F64" s="148" t="str">
        <f>IF(OR(IFERROR('0'!$W$64&gt;=$B$3,FALSE),'0'!$AC$64="Forcée",'0'!$X$64&lt;&gt;"",'0'!$AA$64&lt;&gt;""),'0'!$D$64,"")</f>
        <v/>
      </c>
      <c r="G64" s="148" t="str">
        <f>IF(OR(IFERROR('0'!$W$64&gt;=$B$3,FALSE),'0'!$AC$64="Forcée",'0'!$X$64&lt;&gt;"",'0'!$AA$64&lt;&gt;""),'0'!$E$64,"")</f>
        <v/>
      </c>
      <c r="H64" s="148" t="str">
        <f>IF(OR(IFERROR('0'!$W$64&gt;=$B$3,FALSE),'0'!$AC$64="Forcée",'0'!$X$64&lt;&gt;"",'0'!$AA$64&lt;&gt;""),'0'!$H$64,"")</f>
        <v/>
      </c>
      <c r="I64" s="148" t="str">
        <f>IF(OR(IFERROR('0'!$W$64&gt;=$B$3,FALSE),'0'!$AC$64="Forcée",'0'!$X$64&lt;&gt;"",'0'!$AA$64&lt;&gt;""),'0'!$W$64,"")</f>
        <v/>
      </c>
      <c r="J64" s="148" t="str">
        <f t="shared" si="0"/>
        <v/>
      </c>
      <c r="K64" s="148" t="str">
        <f>IF(A64="","",IF('0'!$AC$64="Forcée","Forcée",IF('0'!$AC$64="Exclue","Exclue","Automatique")))</f>
        <v/>
      </c>
      <c r="L64" s="148" t="str">
        <f>IF(A64="","",IF('0'!$AC$64="Exclue","Exclu",IF('0'!$W$64&gt;=$B$3,"Actif - risque significatif",IF(AND('0'!$W$64&lt;$B$3,'0'!$AD$64="Oui"),"Maîtrisé / clôturable","Maîtrisé - à vérifier"))))</f>
        <v/>
      </c>
      <c r="M64" s="148" t="str">
        <f>IF(A64="","",IF('0'!$W$64&gt;=16,"P1 - Critique",IF('0'!$W$64&gt;=13,"P2 - Haute",IF('0'!$W$64&gt;=9,"P3 - Moyenne","P4 - Basse"))))</f>
        <v/>
      </c>
      <c r="N64" s="148"/>
      <c r="O64" s="148" t="str">
        <f>IF(A64="","",'0'!$X$64)</f>
        <v/>
      </c>
      <c r="P64" s="148"/>
      <c r="Q64" s="148"/>
      <c r="R64" s="148" t="str">
        <f>IF(A64="","",'0'!$Z$64)</f>
        <v/>
      </c>
      <c r="S64" s="148"/>
      <c r="T64" s="148"/>
      <c r="U64" s="149"/>
      <c r="V64" s="150"/>
      <c r="W64" s="150" t="str">
        <f>IF(A64="","",'0'!$Y$64)</f>
        <v/>
      </c>
      <c r="X64" s="148"/>
      <c r="Y64" s="148"/>
      <c r="Z64" s="148"/>
      <c r="AA64" s="148"/>
      <c r="AB64" s="148" t="str">
        <f>IF(A64="","",'0'!$AA$64)</f>
        <v/>
      </c>
      <c r="AC64" s="148" t="str">
        <f>IF(A64="","",'0'!$AD$64)</f>
        <v/>
      </c>
      <c r="AD64" s="150" t="str">
        <f>IF(A64="","",'0'!$AE$64)</f>
        <v/>
      </c>
      <c r="AE64" s="148"/>
      <c r="AF64" s="148"/>
      <c r="AG64" s="148" t="str">
        <f>IF(A64="","",'0'!$AF$64)</f>
        <v/>
      </c>
      <c r="AH64" s="151" t="str">
        <f t="shared" si="1"/>
        <v/>
      </c>
    </row>
    <row r="65" spans="1:34">
      <c r="A65" s="148" t="str">
        <f>IF(OR(IFERROR('0'!$W$65&gt;=$B$3,FALSE),'0'!$AC$65="Forcée",'0'!$X$65&lt;&gt;"",'0'!$AA$65&lt;&gt;""),"0-65","")</f>
        <v/>
      </c>
      <c r="B65" s="148" t="str">
        <f>IF(OR(IFERROR('0'!$W$65&gt;=$B$3,FALSE),'0'!$AC$65="Forcée",'0'!$X$65&lt;&gt;"",'0'!$AA$65&lt;&gt;""),"0","")</f>
        <v/>
      </c>
      <c r="C65" s="148" t="str">
        <f>IF(OR(IFERROR('0'!$W$65&gt;=$B$3,FALSE),'0'!$AC$65="Forcée",'0'!$X$65&lt;&gt;"",'0'!$AA$65&lt;&gt;""),'0'!$A$65,"")</f>
        <v/>
      </c>
      <c r="D65" s="148" t="str">
        <f>IF(OR(IFERROR('0'!$W$65&gt;=$B$3,FALSE),'0'!$AC$65="Forcée",'0'!$X$65&lt;&gt;"",'0'!$AA$65&lt;&gt;""),'0'!$B$65,"")</f>
        <v/>
      </c>
      <c r="E65" s="148" t="str">
        <f>IF(OR(IFERROR('0'!$W$65&gt;=$B$3,FALSE),'0'!$AC$65="Forcée",'0'!$X$65&lt;&gt;"",'0'!$AA$65&lt;&gt;""),'0'!$C$65,"")</f>
        <v/>
      </c>
      <c r="F65" s="148" t="str">
        <f>IF(OR(IFERROR('0'!$W$65&gt;=$B$3,FALSE),'0'!$AC$65="Forcée",'0'!$X$65&lt;&gt;"",'0'!$AA$65&lt;&gt;""),'0'!$D$65,"")</f>
        <v/>
      </c>
      <c r="G65" s="148" t="str">
        <f>IF(OR(IFERROR('0'!$W$65&gt;=$B$3,FALSE),'0'!$AC$65="Forcée",'0'!$X$65&lt;&gt;"",'0'!$AA$65&lt;&gt;""),'0'!$E$65,"")</f>
        <v/>
      </c>
      <c r="H65" s="148" t="str">
        <f>IF(OR(IFERROR('0'!$W$65&gt;=$B$3,FALSE),'0'!$AC$65="Forcée",'0'!$X$65&lt;&gt;"",'0'!$AA$65&lt;&gt;""),'0'!$H$65,"")</f>
        <v/>
      </c>
      <c r="I65" s="148" t="str">
        <f>IF(OR(IFERROR('0'!$W$65&gt;=$B$3,FALSE),'0'!$AC$65="Forcée",'0'!$X$65&lt;&gt;"",'0'!$AA$65&lt;&gt;""),'0'!$W$65,"")</f>
        <v/>
      </c>
      <c r="J65" s="148" t="str">
        <f t="shared" si="0"/>
        <v/>
      </c>
      <c r="K65" s="148" t="str">
        <f>IF(A65="","",IF('0'!$AC$65="Forcée","Forcée",IF('0'!$AC$65="Exclue","Exclue","Automatique")))</f>
        <v/>
      </c>
      <c r="L65" s="148" t="str">
        <f>IF(A65="","",IF('0'!$AC$65="Exclue","Exclu",IF('0'!$W$65&gt;=$B$3,"Actif - risque significatif",IF(AND('0'!$W$65&lt;$B$3,'0'!$AD$65="Oui"),"Maîtrisé / clôturable","Maîtrisé - à vérifier"))))</f>
        <v/>
      </c>
      <c r="M65" s="148" t="str">
        <f>IF(A65="","",IF('0'!$W$65&gt;=16,"P1 - Critique",IF('0'!$W$65&gt;=13,"P2 - Haute",IF('0'!$W$65&gt;=9,"P3 - Moyenne","P4 - Basse"))))</f>
        <v/>
      </c>
      <c r="N65" s="148"/>
      <c r="O65" s="148" t="str">
        <f>IF(A65="","",'0'!$X$65)</f>
        <v/>
      </c>
      <c r="P65" s="148"/>
      <c r="Q65" s="148"/>
      <c r="R65" s="148" t="str">
        <f>IF(A65="","",'0'!$Z$65)</f>
        <v/>
      </c>
      <c r="S65" s="148"/>
      <c r="T65" s="148"/>
      <c r="U65" s="149"/>
      <c r="V65" s="150"/>
      <c r="W65" s="150" t="str">
        <f>IF(A65="","",'0'!$Y$65)</f>
        <v/>
      </c>
      <c r="X65" s="148"/>
      <c r="Y65" s="148"/>
      <c r="Z65" s="148"/>
      <c r="AA65" s="148"/>
      <c r="AB65" s="148" t="str">
        <f>IF(A65="","",'0'!$AA$65)</f>
        <v/>
      </c>
      <c r="AC65" s="148" t="str">
        <f>IF(A65="","",'0'!$AD$65)</f>
        <v/>
      </c>
      <c r="AD65" s="150" t="str">
        <f>IF(A65="","",'0'!$AE$65)</f>
        <v/>
      </c>
      <c r="AE65" s="148"/>
      <c r="AF65" s="148"/>
      <c r="AG65" s="148" t="str">
        <f>IF(A65="","",'0'!$AF$65)</f>
        <v/>
      </c>
      <c r="AH65" s="151" t="str">
        <f t="shared" si="1"/>
        <v/>
      </c>
    </row>
    <row r="66" spans="1:34">
      <c r="A66" s="148" t="str">
        <f>IF(OR(IFERROR('0'!$W$66&gt;=$B$3,FALSE),'0'!$AC$66="Forcée",'0'!$X$66&lt;&gt;"",'0'!$AA$66&lt;&gt;""),"0-66","")</f>
        <v/>
      </c>
      <c r="B66" s="148" t="str">
        <f>IF(OR(IFERROR('0'!$W$66&gt;=$B$3,FALSE),'0'!$AC$66="Forcée",'0'!$X$66&lt;&gt;"",'0'!$AA$66&lt;&gt;""),"0","")</f>
        <v/>
      </c>
      <c r="C66" s="148" t="str">
        <f>IF(OR(IFERROR('0'!$W$66&gt;=$B$3,FALSE),'0'!$AC$66="Forcée",'0'!$X$66&lt;&gt;"",'0'!$AA$66&lt;&gt;""),'0'!$A$66,"")</f>
        <v/>
      </c>
      <c r="D66" s="148" t="str">
        <f>IF(OR(IFERROR('0'!$W$66&gt;=$B$3,FALSE),'0'!$AC$66="Forcée",'0'!$X$66&lt;&gt;"",'0'!$AA$66&lt;&gt;""),'0'!$B$66,"")</f>
        <v/>
      </c>
      <c r="E66" s="148" t="str">
        <f>IF(OR(IFERROR('0'!$W$66&gt;=$B$3,FALSE),'0'!$AC$66="Forcée",'0'!$X$66&lt;&gt;"",'0'!$AA$66&lt;&gt;""),'0'!$C$66,"")</f>
        <v/>
      </c>
      <c r="F66" s="148" t="str">
        <f>IF(OR(IFERROR('0'!$W$66&gt;=$B$3,FALSE),'0'!$AC$66="Forcée",'0'!$X$66&lt;&gt;"",'0'!$AA$66&lt;&gt;""),'0'!$D$66,"")</f>
        <v/>
      </c>
      <c r="G66" s="148" t="str">
        <f>IF(OR(IFERROR('0'!$W$66&gt;=$B$3,FALSE),'0'!$AC$66="Forcée",'0'!$X$66&lt;&gt;"",'0'!$AA$66&lt;&gt;""),'0'!$E$66,"")</f>
        <v/>
      </c>
      <c r="H66" s="148" t="str">
        <f>IF(OR(IFERROR('0'!$W$66&gt;=$B$3,FALSE),'0'!$AC$66="Forcée",'0'!$X$66&lt;&gt;"",'0'!$AA$66&lt;&gt;""),'0'!$H$66,"")</f>
        <v/>
      </c>
      <c r="I66" s="148" t="str">
        <f>IF(OR(IFERROR('0'!$W$66&gt;=$B$3,FALSE),'0'!$AC$66="Forcée",'0'!$X$66&lt;&gt;"",'0'!$AA$66&lt;&gt;""),'0'!$W$66,"")</f>
        <v/>
      </c>
      <c r="J66" s="148" t="str">
        <f t="shared" si="0"/>
        <v/>
      </c>
      <c r="K66" s="148" t="str">
        <f>IF(A66="","",IF('0'!$AC$66="Forcée","Forcée",IF('0'!$AC$66="Exclue","Exclue","Automatique")))</f>
        <v/>
      </c>
      <c r="L66" s="148" t="str">
        <f>IF(A66="","",IF('0'!$AC$66="Exclue","Exclu",IF('0'!$W$66&gt;=$B$3,"Actif - risque significatif",IF(AND('0'!$W$66&lt;$B$3,'0'!$AD$66="Oui"),"Maîtrisé / clôturable","Maîtrisé - à vérifier"))))</f>
        <v/>
      </c>
      <c r="M66" s="148" t="str">
        <f>IF(A66="","",IF('0'!$W$66&gt;=16,"P1 - Critique",IF('0'!$W$66&gt;=13,"P2 - Haute",IF('0'!$W$66&gt;=9,"P3 - Moyenne","P4 - Basse"))))</f>
        <v/>
      </c>
      <c r="N66" s="148"/>
      <c r="O66" s="148" t="str">
        <f>IF(A66="","",'0'!$X$66)</f>
        <v/>
      </c>
      <c r="P66" s="148"/>
      <c r="Q66" s="148"/>
      <c r="R66" s="148" t="str">
        <f>IF(A66="","",'0'!$Z$66)</f>
        <v/>
      </c>
      <c r="S66" s="148"/>
      <c r="T66" s="148"/>
      <c r="U66" s="149"/>
      <c r="V66" s="150"/>
      <c r="W66" s="150" t="str">
        <f>IF(A66="","",'0'!$Y$66)</f>
        <v/>
      </c>
      <c r="X66" s="148"/>
      <c r="Y66" s="148"/>
      <c r="Z66" s="148"/>
      <c r="AA66" s="148"/>
      <c r="AB66" s="148" t="str">
        <f>IF(A66="","",'0'!$AA$66)</f>
        <v/>
      </c>
      <c r="AC66" s="148" t="str">
        <f>IF(A66="","",'0'!$AD$66)</f>
        <v/>
      </c>
      <c r="AD66" s="150" t="str">
        <f>IF(A66="","",'0'!$AE$66)</f>
        <v/>
      </c>
      <c r="AE66" s="148"/>
      <c r="AF66" s="148"/>
      <c r="AG66" s="148" t="str">
        <f>IF(A66="","",'0'!$AF$66)</f>
        <v/>
      </c>
      <c r="AH66" s="151" t="str">
        <f t="shared" si="1"/>
        <v/>
      </c>
    </row>
    <row r="67" spans="1:34">
      <c r="A67" s="148" t="str">
        <f>IF(OR(IFERROR('0'!$W$67&gt;=$B$3,FALSE),'0'!$AC$67="Forcée",'0'!$X$67&lt;&gt;"",'0'!$AA$67&lt;&gt;""),"0-67","")</f>
        <v/>
      </c>
      <c r="B67" s="148" t="str">
        <f>IF(OR(IFERROR('0'!$W$67&gt;=$B$3,FALSE),'0'!$AC$67="Forcée",'0'!$X$67&lt;&gt;"",'0'!$AA$67&lt;&gt;""),"0","")</f>
        <v/>
      </c>
      <c r="C67" s="148" t="str">
        <f>IF(OR(IFERROR('0'!$W$67&gt;=$B$3,FALSE),'0'!$AC$67="Forcée",'0'!$X$67&lt;&gt;"",'0'!$AA$67&lt;&gt;""),'0'!$A$67,"")</f>
        <v/>
      </c>
      <c r="D67" s="148" t="str">
        <f>IF(OR(IFERROR('0'!$W$67&gt;=$B$3,FALSE),'0'!$AC$67="Forcée",'0'!$X$67&lt;&gt;"",'0'!$AA$67&lt;&gt;""),'0'!$B$67,"")</f>
        <v/>
      </c>
      <c r="E67" s="148" t="str">
        <f>IF(OR(IFERROR('0'!$W$67&gt;=$B$3,FALSE),'0'!$AC$67="Forcée",'0'!$X$67&lt;&gt;"",'0'!$AA$67&lt;&gt;""),'0'!$C$67,"")</f>
        <v/>
      </c>
      <c r="F67" s="148" t="str">
        <f>IF(OR(IFERROR('0'!$W$67&gt;=$B$3,FALSE),'0'!$AC$67="Forcée",'0'!$X$67&lt;&gt;"",'0'!$AA$67&lt;&gt;""),'0'!$D$67,"")</f>
        <v/>
      </c>
      <c r="G67" s="148" t="str">
        <f>IF(OR(IFERROR('0'!$W$67&gt;=$B$3,FALSE),'0'!$AC$67="Forcée",'0'!$X$67&lt;&gt;"",'0'!$AA$67&lt;&gt;""),'0'!$E$67,"")</f>
        <v/>
      </c>
      <c r="H67" s="148" t="str">
        <f>IF(OR(IFERROR('0'!$W$67&gt;=$B$3,FALSE),'0'!$AC$67="Forcée",'0'!$X$67&lt;&gt;"",'0'!$AA$67&lt;&gt;""),'0'!$H$67,"")</f>
        <v/>
      </c>
      <c r="I67" s="148" t="str">
        <f>IF(OR(IFERROR('0'!$W$67&gt;=$B$3,FALSE),'0'!$AC$67="Forcée",'0'!$X$67&lt;&gt;"",'0'!$AA$67&lt;&gt;""),'0'!$W$67,"")</f>
        <v/>
      </c>
      <c r="J67" s="148" t="str">
        <f t="shared" si="0"/>
        <v/>
      </c>
      <c r="K67" s="148" t="str">
        <f>IF(A67="","",IF('0'!$AC$67="Forcée","Forcée",IF('0'!$AC$67="Exclue","Exclue","Automatique")))</f>
        <v/>
      </c>
      <c r="L67" s="148" t="str">
        <f>IF(A67="","",IF('0'!$AC$67="Exclue","Exclu",IF('0'!$W$67&gt;=$B$3,"Actif - risque significatif",IF(AND('0'!$W$67&lt;$B$3,'0'!$AD$67="Oui"),"Maîtrisé / clôturable","Maîtrisé - à vérifier"))))</f>
        <v/>
      </c>
      <c r="M67" s="148" t="str">
        <f>IF(A67="","",IF('0'!$W$67&gt;=16,"P1 - Critique",IF('0'!$W$67&gt;=13,"P2 - Haute",IF('0'!$W$67&gt;=9,"P3 - Moyenne","P4 - Basse"))))</f>
        <v/>
      </c>
      <c r="N67" s="148"/>
      <c r="O67" s="148" t="str">
        <f>IF(A67="","",'0'!$X$67)</f>
        <v/>
      </c>
      <c r="P67" s="148"/>
      <c r="Q67" s="148"/>
      <c r="R67" s="148" t="str">
        <f>IF(A67="","",'0'!$Z$67)</f>
        <v/>
      </c>
      <c r="S67" s="148"/>
      <c r="T67" s="148"/>
      <c r="U67" s="149"/>
      <c r="V67" s="150"/>
      <c r="W67" s="150" t="str">
        <f>IF(A67="","",'0'!$Y$67)</f>
        <v/>
      </c>
      <c r="X67" s="148"/>
      <c r="Y67" s="148"/>
      <c r="Z67" s="148"/>
      <c r="AA67" s="148"/>
      <c r="AB67" s="148" t="str">
        <f>IF(A67="","",'0'!$AA$67)</f>
        <v/>
      </c>
      <c r="AC67" s="148" t="str">
        <f>IF(A67="","",'0'!$AD$67)</f>
        <v/>
      </c>
      <c r="AD67" s="150" t="str">
        <f>IF(A67="","",'0'!$AE$67)</f>
        <v/>
      </c>
      <c r="AE67" s="148"/>
      <c r="AF67" s="148"/>
      <c r="AG67" s="148" t="str">
        <f>IF(A67="","",'0'!$AF$67)</f>
        <v/>
      </c>
      <c r="AH67" s="151" t="str">
        <f t="shared" si="1"/>
        <v/>
      </c>
    </row>
    <row r="68" spans="1:34">
      <c r="A68" s="148" t="str">
        <f>IF(OR(IFERROR('0'!$W$68&gt;=$B$3,FALSE),'0'!$AC$68="Forcée",'0'!$X$68&lt;&gt;"",'0'!$AA$68&lt;&gt;""),"0-68","")</f>
        <v/>
      </c>
      <c r="B68" s="148" t="str">
        <f>IF(OR(IFERROR('0'!$W$68&gt;=$B$3,FALSE),'0'!$AC$68="Forcée",'0'!$X$68&lt;&gt;"",'0'!$AA$68&lt;&gt;""),"0","")</f>
        <v/>
      </c>
      <c r="C68" s="148" t="str">
        <f>IF(OR(IFERROR('0'!$W$68&gt;=$B$3,FALSE),'0'!$AC$68="Forcée",'0'!$X$68&lt;&gt;"",'0'!$AA$68&lt;&gt;""),'0'!$A$68,"")</f>
        <v/>
      </c>
      <c r="D68" s="148" t="str">
        <f>IF(OR(IFERROR('0'!$W$68&gt;=$B$3,FALSE),'0'!$AC$68="Forcée",'0'!$X$68&lt;&gt;"",'0'!$AA$68&lt;&gt;""),'0'!$B$68,"")</f>
        <v/>
      </c>
      <c r="E68" s="148" t="str">
        <f>IF(OR(IFERROR('0'!$W$68&gt;=$B$3,FALSE),'0'!$AC$68="Forcée",'0'!$X$68&lt;&gt;"",'0'!$AA$68&lt;&gt;""),'0'!$C$68,"")</f>
        <v/>
      </c>
      <c r="F68" s="148" t="str">
        <f>IF(OR(IFERROR('0'!$W$68&gt;=$B$3,FALSE),'0'!$AC$68="Forcée",'0'!$X$68&lt;&gt;"",'0'!$AA$68&lt;&gt;""),'0'!$D$68,"")</f>
        <v/>
      </c>
      <c r="G68" s="148" t="str">
        <f>IF(OR(IFERROR('0'!$W$68&gt;=$B$3,FALSE),'0'!$AC$68="Forcée",'0'!$X$68&lt;&gt;"",'0'!$AA$68&lt;&gt;""),'0'!$E$68,"")</f>
        <v/>
      </c>
      <c r="H68" s="148" t="str">
        <f>IF(OR(IFERROR('0'!$W$68&gt;=$B$3,FALSE),'0'!$AC$68="Forcée",'0'!$X$68&lt;&gt;"",'0'!$AA$68&lt;&gt;""),'0'!$H$68,"")</f>
        <v/>
      </c>
      <c r="I68" s="148" t="str">
        <f>IF(OR(IFERROR('0'!$W$68&gt;=$B$3,FALSE),'0'!$AC$68="Forcée",'0'!$X$68&lt;&gt;"",'0'!$AA$68&lt;&gt;""),'0'!$W$68,"")</f>
        <v/>
      </c>
      <c r="J68" s="148" t="str">
        <f t="shared" si="0"/>
        <v/>
      </c>
      <c r="K68" s="148" t="str">
        <f>IF(A68="","",IF('0'!$AC$68="Forcée","Forcée",IF('0'!$AC$68="Exclue","Exclue","Automatique")))</f>
        <v/>
      </c>
      <c r="L68" s="148" t="str">
        <f>IF(A68="","",IF('0'!$AC$68="Exclue","Exclu",IF('0'!$W$68&gt;=$B$3,"Actif - risque significatif",IF(AND('0'!$W$68&lt;$B$3,'0'!$AD$68="Oui"),"Maîtrisé / clôturable","Maîtrisé - à vérifier"))))</f>
        <v/>
      </c>
      <c r="M68" s="148" t="str">
        <f>IF(A68="","",IF('0'!$W$68&gt;=16,"P1 - Critique",IF('0'!$W$68&gt;=13,"P2 - Haute",IF('0'!$W$68&gt;=9,"P3 - Moyenne","P4 - Basse"))))</f>
        <v/>
      </c>
      <c r="N68" s="148"/>
      <c r="O68" s="148" t="str">
        <f>IF(A68="","",'0'!$X$68)</f>
        <v/>
      </c>
      <c r="P68" s="148"/>
      <c r="Q68" s="148"/>
      <c r="R68" s="148" t="str">
        <f>IF(A68="","",'0'!$Z$68)</f>
        <v/>
      </c>
      <c r="S68" s="148"/>
      <c r="T68" s="148"/>
      <c r="U68" s="149"/>
      <c r="V68" s="150"/>
      <c r="W68" s="150" t="str">
        <f>IF(A68="","",'0'!$Y$68)</f>
        <v/>
      </c>
      <c r="X68" s="148"/>
      <c r="Y68" s="148"/>
      <c r="Z68" s="148"/>
      <c r="AA68" s="148"/>
      <c r="AB68" s="148" t="str">
        <f>IF(A68="","",'0'!$AA$68)</f>
        <v/>
      </c>
      <c r="AC68" s="148" t="str">
        <f>IF(A68="","",'0'!$AD$68)</f>
        <v/>
      </c>
      <c r="AD68" s="150" t="str">
        <f>IF(A68="","",'0'!$AE$68)</f>
        <v/>
      </c>
      <c r="AE68" s="148"/>
      <c r="AF68" s="148"/>
      <c r="AG68" s="148" t="str">
        <f>IF(A68="","",'0'!$AF$68)</f>
        <v/>
      </c>
      <c r="AH68" s="151" t="str">
        <f t="shared" si="1"/>
        <v/>
      </c>
    </row>
    <row r="69" spans="1:34">
      <c r="A69" s="148" t="str">
        <f>IF(OR(IFERROR('0'!$W$69&gt;=$B$3,FALSE),'0'!$AC$69="Forcée",'0'!$X$69&lt;&gt;"",'0'!$AA$69&lt;&gt;""),"0-69","")</f>
        <v/>
      </c>
      <c r="B69" s="148" t="str">
        <f>IF(OR(IFERROR('0'!$W$69&gt;=$B$3,FALSE),'0'!$AC$69="Forcée",'0'!$X$69&lt;&gt;"",'0'!$AA$69&lt;&gt;""),"0","")</f>
        <v/>
      </c>
      <c r="C69" s="148" t="str">
        <f>IF(OR(IFERROR('0'!$W$69&gt;=$B$3,FALSE),'0'!$AC$69="Forcée",'0'!$X$69&lt;&gt;"",'0'!$AA$69&lt;&gt;""),'0'!$A$69,"")</f>
        <v/>
      </c>
      <c r="D69" s="148" t="str">
        <f>IF(OR(IFERROR('0'!$W$69&gt;=$B$3,FALSE),'0'!$AC$69="Forcée",'0'!$X$69&lt;&gt;"",'0'!$AA$69&lt;&gt;""),'0'!$B$69,"")</f>
        <v/>
      </c>
      <c r="E69" s="148" t="str">
        <f>IF(OR(IFERROR('0'!$W$69&gt;=$B$3,FALSE),'0'!$AC$69="Forcée",'0'!$X$69&lt;&gt;"",'0'!$AA$69&lt;&gt;""),'0'!$C$69,"")</f>
        <v/>
      </c>
      <c r="F69" s="148" t="str">
        <f>IF(OR(IFERROR('0'!$W$69&gt;=$B$3,FALSE),'0'!$AC$69="Forcée",'0'!$X$69&lt;&gt;"",'0'!$AA$69&lt;&gt;""),'0'!$D$69,"")</f>
        <v/>
      </c>
      <c r="G69" s="148" t="str">
        <f>IF(OR(IFERROR('0'!$W$69&gt;=$B$3,FALSE),'0'!$AC$69="Forcée",'0'!$X$69&lt;&gt;"",'0'!$AA$69&lt;&gt;""),'0'!$E$69,"")</f>
        <v/>
      </c>
      <c r="H69" s="148" t="str">
        <f>IF(OR(IFERROR('0'!$W$69&gt;=$B$3,FALSE),'0'!$AC$69="Forcée",'0'!$X$69&lt;&gt;"",'0'!$AA$69&lt;&gt;""),'0'!$H$69,"")</f>
        <v/>
      </c>
      <c r="I69" s="148" t="str">
        <f>IF(OR(IFERROR('0'!$W$69&gt;=$B$3,FALSE),'0'!$AC$69="Forcée",'0'!$X$69&lt;&gt;"",'0'!$AA$69&lt;&gt;""),'0'!$W$69,"")</f>
        <v/>
      </c>
      <c r="J69" s="148" t="str">
        <f t="shared" si="0"/>
        <v/>
      </c>
      <c r="K69" s="148" t="str">
        <f>IF(A69="","",IF('0'!$AC$69="Forcée","Forcée",IF('0'!$AC$69="Exclue","Exclue","Automatique")))</f>
        <v/>
      </c>
      <c r="L69" s="148" t="str">
        <f>IF(A69="","",IF('0'!$AC$69="Exclue","Exclu",IF('0'!$W$69&gt;=$B$3,"Actif - risque significatif",IF(AND('0'!$W$69&lt;$B$3,'0'!$AD$69="Oui"),"Maîtrisé / clôturable","Maîtrisé - à vérifier"))))</f>
        <v/>
      </c>
      <c r="M69" s="148" t="str">
        <f>IF(A69="","",IF('0'!$W$69&gt;=16,"P1 - Critique",IF('0'!$W$69&gt;=13,"P2 - Haute",IF('0'!$W$69&gt;=9,"P3 - Moyenne","P4 - Basse"))))</f>
        <v/>
      </c>
      <c r="N69" s="148"/>
      <c r="O69" s="148" t="str">
        <f>IF(A69="","",'0'!$X$69)</f>
        <v/>
      </c>
      <c r="P69" s="148"/>
      <c r="Q69" s="148"/>
      <c r="R69" s="148" t="str">
        <f>IF(A69="","",'0'!$Z$69)</f>
        <v/>
      </c>
      <c r="S69" s="148"/>
      <c r="T69" s="148"/>
      <c r="U69" s="149"/>
      <c r="V69" s="150"/>
      <c r="W69" s="150" t="str">
        <f>IF(A69="","",'0'!$Y$69)</f>
        <v/>
      </c>
      <c r="X69" s="148"/>
      <c r="Y69" s="148"/>
      <c r="Z69" s="148"/>
      <c r="AA69" s="148"/>
      <c r="AB69" s="148" t="str">
        <f>IF(A69="","",'0'!$AA$69)</f>
        <v/>
      </c>
      <c r="AC69" s="148" t="str">
        <f>IF(A69="","",'0'!$AD$69)</f>
        <v/>
      </c>
      <c r="AD69" s="150" t="str">
        <f>IF(A69="","",'0'!$AE$69)</f>
        <v/>
      </c>
      <c r="AE69" s="148"/>
      <c r="AF69" s="148"/>
      <c r="AG69" s="148" t="str">
        <f>IF(A69="","",'0'!$AF$69)</f>
        <v/>
      </c>
      <c r="AH69" s="151" t="str">
        <f t="shared" si="1"/>
        <v/>
      </c>
    </row>
    <row r="70" spans="1:34">
      <c r="A70" s="148" t="str">
        <f>IF(OR(IFERROR('0'!$W$70&gt;=$B$3,FALSE),'0'!$AC$70="Forcée",'0'!$X$70&lt;&gt;"",'0'!$AA$70&lt;&gt;""),"0-70","")</f>
        <v/>
      </c>
      <c r="B70" s="148" t="str">
        <f>IF(OR(IFERROR('0'!$W$70&gt;=$B$3,FALSE),'0'!$AC$70="Forcée",'0'!$X$70&lt;&gt;"",'0'!$AA$70&lt;&gt;""),"0","")</f>
        <v/>
      </c>
      <c r="C70" s="148" t="str">
        <f>IF(OR(IFERROR('0'!$W$70&gt;=$B$3,FALSE),'0'!$AC$70="Forcée",'0'!$X$70&lt;&gt;"",'0'!$AA$70&lt;&gt;""),'0'!$A$70,"")</f>
        <v/>
      </c>
      <c r="D70" s="148" t="str">
        <f>IF(OR(IFERROR('0'!$W$70&gt;=$B$3,FALSE),'0'!$AC$70="Forcée",'0'!$X$70&lt;&gt;"",'0'!$AA$70&lt;&gt;""),'0'!$B$70,"")</f>
        <v/>
      </c>
      <c r="E70" s="148" t="str">
        <f>IF(OR(IFERROR('0'!$W$70&gt;=$B$3,FALSE),'0'!$AC$70="Forcée",'0'!$X$70&lt;&gt;"",'0'!$AA$70&lt;&gt;""),'0'!$C$70,"")</f>
        <v/>
      </c>
      <c r="F70" s="148" t="str">
        <f>IF(OR(IFERROR('0'!$W$70&gt;=$B$3,FALSE),'0'!$AC$70="Forcée",'0'!$X$70&lt;&gt;"",'0'!$AA$70&lt;&gt;""),'0'!$D$70,"")</f>
        <v/>
      </c>
      <c r="G70" s="148" t="str">
        <f>IF(OR(IFERROR('0'!$W$70&gt;=$B$3,FALSE),'0'!$AC$70="Forcée",'0'!$X$70&lt;&gt;"",'0'!$AA$70&lt;&gt;""),'0'!$E$70,"")</f>
        <v/>
      </c>
      <c r="H70" s="148" t="str">
        <f>IF(OR(IFERROR('0'!$W$70&gt;=$B$3,FALSE),'0'!$AC$70="Forcée",'0'!$X$70&lt;&gt;"",'0'!$AA$70&lt;&gt;""),'0'!$H$70,"")</f>
        <v/>
      </c>
      <c r="I70" s="148" t="str">
        <f>IF(OR(IFERROR('0'!$W$70&gt;=$B$3,FALSE),'0'!$AC$70="Forcée",'0'!$X$70&lt;&gt;"",'0'!$AA$70&lt;&gt;""),'0'!$W$70,"")</f>
        <v/>
      </c>
      <c r="J70" s="148" t="str">
        <f t="shared" ref="J70:J133" si="2">IF(A70="","",$B$3)</f>
        <v/>
      </c>
      <c r="K70" s="148" t="str">
        <f>IF(A70="","",IF('0'!$AC$70="Forcée","Forcée",IF('0'!$AC$70="Exclue","Exclue","Automatique")))</f>
        <v/>
      </c>
      <c r="L70" s="148" t="str">
        <f>IF(A70="","",IF('0'!$AC$70="Exclue","Exclu",IF('0'!$W$70&gt;=$B$3,"Actif - risque significatif",IF(AND('0'!$W$70&lt;$B$3,'0'!$AD$70="Oui"),"Maîtrisé / clôturable","Maîtrisé - à vérifier"))))</f>
        <v/>
      </c>
      <c r="M70" s="148" t="str">
        <f>IF(A70="","",IF('0'!$W$70&gt;=16,"P1 - Critique",IF('0'!$W$70&gt;=13,"P2 - Haute",IF('0'!$W$70&gt;=9,"P3 - Moyenne","P4 - Basse"))))</f>
        <v/>
      </c>
      <c r="N70" s="148"/>
      <c r="O70" s="148" t="str">
        <f>IF(A70="","",'0'!$X$70)</f>
        <v/>
      </c>
      <c r="P70" s="148"/>
      <c r="Q70" s="148"/>
      <c r="R70" s="148" t="str">
        <f>IF(A70="","",'0'!$Z$70)</f>
        <v/>
      </c>
      <c r="S70" s="148"/>
      <c r="T70" s="148"/>
      <c r="U70" s="149"/>
      <c r="V70" s="150"/>
      <c r="W70" s="150" t="str">
        <f>IF(A70="","",'0'!$Y$70)</f>
        <v/>
      </c>
      <c r="X70" s="148"/>
      <c r="Y70" s="148"/>
      <c r="Z70" s="148"/>
      <c r="AA70" s="148"/>
      <c r="AB70" s="148" t="str">
        <f>IF(A70="","",'0'!$AA$70)</f>
        <v/>
      </c>
      <c r="AC70" s="148" t="str">
        <f>IF(A70="","",'0'!$AD$70)</f>
        <v/>
      </c>
      <c r="AD70" s="150" t="str">
        <f>IF(A70="","",'0'!$AE$70)</f>
        <v/>
      </c>
      <c r="AE70" s="148"/>
      <c r="AF70" s="148"/>
      <c r="AG70" s="148" t="str">
        <f>IF(A70="","",'0'!$AF$70)</f>
        <v/>
      </c>
      <c r="AH70" s="151" t="str">
        <f t="shared" ref="AH70:AH133" si="3">IF(A70="","",IFERROR((H70-I70)/H70,0))</f>
        <v/>
      </c>
    </row>
    <row r="71" spans="1:34">
      <c r="A71" s="148" t="str">
        <f>IF(OR(IFERROR('0'!$W$71&gt;=$B$3,FALSE),'0'!$AC$71="Forcée",'0'!$X$71&lt;&gt;"",'0'!$AA$71&lt;&gt;""),"0-71","")</f>
        <v/>
      </c>
      <c r="B71" s="148" t="str">
        <f>IF(OR(IFERROR('0'!$W$71&gt;=$B$3,FALSE),'0'!$AC$71="Forcée",'0'!$X$71&lt;&gt;"",'0'!$AA$71&lt;&gt;""),"0","")</f>
        <v/>
      </c>
      <c r="C71" s="148" t="str">
        <f>IF(OR(IFERROR('0'!$W$71&gt;=$B$3,FALSE),'0'!$AC$71="Forcée",'0'!$X$71&lt;&gt;"",'0'!$AA$71&lt;&gt;""),'0'!$A$71,"")</f>
        <v/>
      </c>
      <c r="D71" s="148" t="str">
        <f>IF(OR(IFERROR('0'!$W$71&gt;=$B$3,FALSE),'0'!$AC$71="Forcée",'0'!$X$71&lt;&gt;"",'0'!$AA$71&lt;&gt;""),'0'!$B$71,"")</f>
        <v/>
      </c>
      <c r="E71" s="148" t="str">
        <f>IF(OR(IFERROR('0'!$W$71&gt;=$B$3,FALSE),'0'!$AC$71="Forcée",'0'!$X$71&lt;&gt;"",'0'!$AA$71&lt;&gt;""),'0'!$C$71,"")</f>
        <v/>
      </c>
      <c r="F71" s="148" t="str">
        <f>IF(OR(IFERROR('0'!$W$71&gt;=$B$3,FALSE),'0'!$AC$71="Forcée",'0'!$X$71&lt;&gt;"",'0'!$AA$71&lt;&gt;""),'0'!$D$71,"")</f>
        <v/>
      </c>
      <c r="G71" s="148" t="str">
        <f>IF(OR(IFERROR('0'!$W$71&gt;=$B$3,FALSE),'0'!$AC$71="Forcée",'0'!$X$71&lt;&gt;"",'0'!$AA$71&lt;&gt;""),'0'!$E$71,"")</f>
        <v/>
      </c>
      <c r="H71" s="148" t="str">
        <f>IF(OR(IFERROR('0'!$W$71&gt;=$B$3,FALSE),'0'!$AC$71="Forcée",'0'!$X$71&lt;&gt;"",'0'!$AA$71&lt;&gt;""),'0'!$H$71,"")</f>
        <v/>
      </c>
      <c r="I71" s="148" t="str">
        <f>IF(OR(IFERROR('0'!$W$71&gt;=$B$3,FALSE),'0'!$AC$71="Forcée",'0'!$X$71&lt;&gt;"",'0'!$AA$71&lt;&gt;""),'0'!$W$71,"")</f>
        <v/>
      </c>
      <c r="J71" s="148" t="str">
        <f t="shared" si="2"/>
        <v/>
      </c>
      <c r="K71" s="148" t="str">
        <f>IF(A71="","",IF('0'!$AC$71="Forcée","Forcée",IF('0'!$AC$71="Exclue","Exclue","Automatique")))</f>
        <v/>
      </c>
      <c r="L71" s="148" t="str">
        <f>IF(A71="","",IF('0'!$AC$71="Exclue","Exclu",IF('0'!$W$71&gt;=$B$3,"Actif - risque significatif",IF(AND('0'!$W$71&lt;$B$3,'0'!$AD$71="Oui"),"Maîtrisé / clôturable","Maîtrisé - à vérifier"))))</f>
        <v/>
      </c>
      <c r="M71" s="148" t="str">
        <f>IF(A71="","",IF('0'!$W$71&gt;=16,"P1 - Critique",IF('0'!$W$71&gt;=13,"P2 - Haute",IF('0'!$W$71&gt;=9,"P3 - Moyenne","P4 - Basse"))))</f>
        <v/>
      </c>
      <c r="N71" s="148"/>
      <c r="O71" s="148" t="str">
        <f>IF(A71="","",'0'!$X$71)</f>
        <v/>
      </c>
      <c r="P71" s="148"/>
      <c r="Q71" s="148"/>
      <c r="R71" s="148" t="str">
        <f>IF(A71="","",'0'!$Z$71)</f>
        <v/>
      </c>
      <c r="S71" s="148"/>
      <c r="T71" s="148"/>
      <c r="U71" s="149"/>
      <c r="V71" s="150"/>
      <c r="W71" s="150" t="str">
        <f>IF(A71="","",'0'!$Y$71)</f>
        <v/>
      </c>
      <c r="X71" s="148"/>
      <c r="Y71" s="148"/>
      <c r="Z71" s="148"/>
      <c r="AA71" s="148"/>
      <c r="AB71" s="148" t="str">
        <f>IF(A71="","",'0'!$AA$71)</f>
        <v/>
      </c>
      <c r="AC71" s="148" t="str">
        <f>IF(A71="","",'0'!$AD$71)</f>
        <v/>
      </c>
      <c r="AD71" s="150" t="str">
        <f>IF(A71="","",'0'!$AE$71)</f>
        <v/>
      </c>
      <c r="AE71" s="148"/>
      <c r="AF71" s="148"/>
      <c r="AG71" s="148" t="str">
        <f>IF(A71="","",'0'!$AF$71)</f>
        <v/>
      </c>
      <c r="AH71" s="151" t="str">
        <f t="shared" si="3"/>
        <v/>
      </c>
    </row>
    <row r="72" spans="1:34">
      <c r="A72" s="148" t="str">
        <f>IF(OR(IFERROR('0'!$W$72&gt;=$B$3,FALSE),'0'!$AC$72="Forcée",'0'!$X$72&lt;&gt;"",'0'!$AA$72&lt;&gt;""),"0-72","")</f>
        <v/>
      </c>
      <c r="B72" s="148" t="str">
        <f>IF(OR(IFERROR('0'!$W$72&gt;=$B$3,FALSE),'0'!$AC$72="Forcée",'0'!$X$72&lt;&gt;"",'0'!$AA$72&lt;&gt;""),"0","")</f>
        <v/>
      </c>
      <c r="C72" s="148" t="str">
        <f>IF(OR(IFERROR('0'!$W$72&gt;=$B$3,FALSE),'0'!$AC$72="Forcée",'0'!$X$72&lt;&gt;"",'0'!$AA$72&lt;&gt;""),'0'!$A$72,"")</f>
        <v/>
      </c>
      <c r="D72" s="148" t="str">
        <f>IF(OR(IFERROR('0'!$W$72&gt;=$B$3,FALSE),'0'!$AC$72="Forcée",'0'!$X$72&lt;&gt;"",'0'!$AA$72&lt;&gt;""),'0'!$B$72,"")</f>
        <v/>
      </c>
      <c r="E72" s="148" t="str">
        <f>IF(OR(IFERROR('0'!$W$72&gt;=$B$3,FALSE),'0'!$AC$72="Forcée",'0'!$X$72&lt;&gt;"",'0'!$AA$72&lt;&gt;""),'0'!$C$72,"")</f>
        <v/>
      </c>
      <c r="F72" s="148" t="str">
        <f>IF(OR(IFERROR('0'!$W$72&gt;=$B$3,FALSE),'0'!$AC$72="Forcée",'0'!$X$72&lt;&gt;"",'0'!$AA$72&lt;&gt;""),'0'!$D$72,"")</f>
        <v/>
      </c>
      <c r="G72" s="148" t="str">
        <f>IF(OR(IFERROR('0'!$W$72&gt;=$B$3,FALSE),'0'!$AC$72="Forcée",'0'!$X$72&lt;&gt;"",'0'!$AA$72&lt;&gt;""),'0'!$E$72,"")</f>
        <v/>
      </c>
      <c r="H72" s="148" t="str">
        <f>IF(OR(IFERROR('0'!$W$72&gt;=$B$3,FALSE),'0'!$AC$72="Forcée",'0'!$X$72&lt;&gt;"",'0'!$AA$72&lt;&gt;""),'0'!$H$72,"")</f>
        <v/>
      </c>
      <c r="I72" s="148" t="str">
        <f>IF(OR(IFERROR('0'!$W$72&gt;=$B$3,FALSE),'0'!$AC$72="Forcée",'0'!$X$72&lt;&gt;"",'0'!$AA$72&lt;&gt;""),'0'!$W$72,"")</f>
        <v/>
      </c>
      <c r="J72" s="148" t="str">
        <f t="shared" si="2"/>
        <v/>
      </c>
      <c r="K72" s="148" t="str">
        <f>IF(A72="","",IF('0'!$AC$72="Forcée","Forcée",IF('0'!$AC$72="Exclue","Exclue","Automatique")))</f>
        <v/>
      </c>
      <c r="L72" s="148" t="str">
        <f>IF(A72="","",IF('0'!$AC$72="Exclue","Exclu",IF('0'!$W$72&gt;=$B$3,"Actif - risque significatif",IF(AND('0'!$W$72&lt;$B$3,'0'!$AD$72="Oui"),"Maîtrisé / clôturable","Maîtrisé - à vérifier"))))</f>
        <v/>
      </c>
      <c r="M72" s="148" t="str">
        <f>IF(A72="","",IF('0'!$W$72&gt;=16,"P1 - Critique",IF('0'!$W$72&gt;=13,"P2 - Haute",IF('0'!$W$72&gt;=9,"P3 - Moyenne","P4 - Basse"))))</f>
        <v/>
      </c>
      <c r="N72" s="148"/>
      <c r="O72" s="148" t="str">
        <f>IF(A72="","",'0'!$X$72)</f>
        <v/>
      </c>
      <c r="P72" s="148"/>
      <c r="Q72" s="148"/>
      <c r="R72" s="148" t="str">
        <f>IF(A72="","",'0'!$Z$72)</f>
        <v/>
      </c>
      <c r="S72" s="148"/>
      <c r="T72" s="148"/>
      <c r="U72" s="149"/>
      <c r="V72" s="150"/>
      <c r="W72" s="150" t="str">
        <f>IF(A72="","",'0'!$Y$72)</f>
        <v/>
      </c>
      <c r="X72" s="148"/>
      <c r="Y72" s="148"/>
      <c r="Z72" s="148"/>
      <c r="AA72" s="148"/>
      <c r="AB72" s="148" t="str">
        <f>IF(A72="","",'0'!$AA$72)</f>
        <v/>
      </c>
      <c r="AC72" s="148" t="str">
        <f>IF(A72="","",'0'!$AD$72)</f>
        <v/>
      </c>
      <c r="AD72" s="150" t="str">
        <f>IF(A72="","",'0'!$AE$72)</f>
        <v/>
      </c>
      <c r="AE72" s="148"/>
      <c r="AF72" s="148"/>
      <c r="AG72" s="148" t="str">
        <f>IF(A72="","",'0'!$AF$72)</f>
        <v/>
      </c>
      <c r="AH72" s="151" t="str">
        <f t="shared" si="3"/>
        <v/>
      </c>
    </row>
    <row r="73" spans="1:34">
      <c r="A73" s="148" t="str">
        <f>IF(OR(IFERROR('0'!$W$73&gt;=$B$3,FALSE),'0'!$AC$73="Forcée",'0'!$X$73&lt;&gt;"",'0'!$AA$73&lt;&gt;""),"0-73","")</f>
        <v/>
      </c>
      <c r="B73" s="148" t="str">
        <f>IF(OR(IFERROR('0'!$W$73&gt;=$B$3,FALSE),'0'!$AC$73="Forcée",'0'!$X$73&lt;&gt;"",'0'!$AA$73&lt;&gt;""),"0","")</f>
        <v/>
      </c>
      <c r="C73" s="148" t="str">
        <f>IF(OR(IFERROR('0'!$W$73&gt;=$B$3,FALSE),'0'!$AC$73="Forcée",'0'!$X$73&lt;&gt;"",'0'!$AA$73&lt;&gt;""),'0'!$A$73,"")</f>
        <v/>
      </c>
      <c r="D73" s="148" t="str">
        <f>IF(OR(IFERROR('0'!$W$73&gt;=$B$3,FALSE),'0'!$AC$73="Forcée",'0'!$X$73&lt;&gt;"",'0'!$AA$73&lt;&gt;""),'0'!$B$73,"")</f>
        <v/>
      </c>
      <c r="E73" s="148" t="str">
        <f>IF(OR(IFERROR('0'!$W$73&gt;=$B$3,FALSE),'0'!$AC$73="Forcée",'0'!$X$73&lt;&gt;"",'0'!$AA$73&lt;&gt;""),'0'!$C$73,"")</f>
        <v/>
      </c>
      <c r="F73" s="148" t="str">
        <f>IF(OR(IFERROR('0'!$W$73&gt;=$B$3,FALSE),'0'!$AC$73="Forcée",'0'!$X$73&lt;&gt;"",'0'!$AA$73&lt;&gt;""),'0'!$D$73,"")</f>
        <v/>
      </c>
      <c r="G73" s="148" t="str">
        <f>IF(OR(IFERROR('0'!$W$73&gt;=$B$3,FALSE),'0'!$AC$73="Forcée",'0'!$X$73&lt;&gt;"",'0'!$AA$73&lt;&gt;""),'0'!$E$73,"")</f>
        <v/>
      </c>
      <c r="H73" s="148" t="str">
        <f>IF(OR(IFERROR('0'!$W$73&gt;=$B$3,FALSE),'0'!$AC$73="Forcée",'0'!$X$73&lt;&gt;"",'0'!$AA$73&lt;&gt;""),'0'!$H$73,"")</f>
        <v/>
      </c>
      <c r="I73" s="148" t="str">
        <f>IF(OR(IFERROR('0'!$W$73&gt;=$B$3,FALSE),'0'!$AC$73="Forcée",'0'!$X$73&lt;&gt;"",'0'!$AA$73&lt;&gt;""),'0'!$W$73,"")</f>
        <v/>
      </c>
      <c r="J73" s="148" t="str">
        <f t="shared" si="2"/>
        <v/>
      </c>
      <c r="K73" s="148" t="str">
        <f>IF(A73="","",IF('0'!$AC$73="Forcée","Forcée",IF('0'!$AC$73="Exclue","Exclue","Automatique")))</f>
        <v/>
      </c>
      <c r="L73" s="148" t="str">
        <f>IF(A73="","",IF('0'!$AC$73="Exclue","Exclu",IF('0'!$W$73&gt;=$B$3,"Actif - risque significatif",IF(AND('0'!$W$73&lt;$B$3,'0'!$AD$73="Oui"),"Maîtrisé / clôturable","Maîtrisé - à vérifier"))))</f>
        <v/>
      </c>
      <c r="M73" s="148" t="str">
        <f>IF(A73="","",IF('0'!$W$73&gt;=16,"P1 - Critique",IF('0'!$W$73&gt;=13,"P2 - Haute",IF('0'!$W$73&gt;=9,"P3 - Moyenne","P4 - Basse"))))</f>
        <v/>
      </c>
      <c r="N73" s="148"/>
      <c r="O73" s="148" t="str">
        <f>IF(A73="","",'0'!$X$73)</f>
        <v/>
      </c>
      <c r="P73" s="148"/>
      <c r="Q73" s="148"/>
      <c r="R73" s="148" t="str">
        <f>IF(A73="","",'0'!$Z$73)</f>
        <v/>
      </c>
      <c r="S73" s="148"/>
      <c r="T73" s="148"/>
      <c r="U73" s="149"/>
      <c r="V73" s="150"/>
      <c r="W73" s="150" t="str">
        <f>IF(A73="","",'0'!$Y$73)</f>
        <v/>
      </c>
      <c r="X73" s="148"/>
      <c r="Y73" s="148"/>
      <c r="Z73" s="148"/>
      <c r="AA73" s="148"/>
      <c r="AB73" s="148" t="str">
        <f>IF(A73="","",'0'!$AA$73)</f>
        <v/>
      </c>
      <c r="AC73" s="148" t="str">
        <f>IF(A73="","",'0'!$AD$73)</f>
        <v/>
      </c>
      <c r="AD73" s="150" t="str">
        <f>IF(A73="","",'0'!$AE$73)</f>
        <v/>
      </c>
      <c r="AE73" s="148"/>
      <c r="AF73" s="148"/>
      <c r="AG73" s="148" t="str">
        <f>IF(A73="","",'0'!$AF$73)</f>
        <v/>
      </c>
      <c r="AH73" s="151" t="str">
        <f t="shared" si="3"/>
        <v/>
      </c>
    </row>
    <row r="74" spans="1:34">
      <c r="A74" s="148" t="str">
        <f>IF(OR(IFERROR('0'!$W$74&gt;=$B$3,FALSE),'0'!$AC$74="Forcée",'0'!$X$74&lt;&gt;"",'0'!$AA$74&lt;&gt;""),"0-74","")</f>
        <v/>
      </c>
      <c r="B74" s="148" t="str">
        <f>IF(OR(IFERROR('0'!$W$74&gt;=$B$3,FALSE),'0'!$AC$74="Forcée",'0'!$X$74&lt;&gt;"",'0'!$AA$74&lt;&gt;""),"0","")</f>
        <v/>
      </c>
      <c r="C74" s="148" t="str">
        <f>IF(OR(IFERROR('0'!$W$74&gt;=$B$3,FALSE),'0'!$AC$74="Forcée",'0'!$X$74&lt;&gt;"",'0'!$AA$74&lt;&gt;""),'0'!$A$74,"")</f>
        <v/>
      </c>
      <c r="D74" s="148" t="str">
        <f>IF(OR(IFERROR('0'!$W$74&gt;=$B$3,FALSE),'0'!$AC$74="Forcée",'0'!$X$74&lt;&gt;"",'0'!$AA$74&lt;&gt;""),'0'!$B$74,"")</f>
        <v/>
      </c>
      <c r="E74" s="148" t="str">
        <f>IF(OR(IFERROR('0'!$W$74&gt;=$B$3,FALSE),'0'!$AC$74="Forcée",'0'!$X$74&lt;&gt;"",'0'!$AA$74&lt;&gt;""),'0'!$C$74,"")</f>
        <v/>
      </c>
      <c r="F74" s="148" t="str">
        <f>IF(OR(IFERROR('0'!$W$74&gt;=$B$3,FALSE),'0'!$AC$74="Forcée",'0'!$X$74&lt;&gt;"",'0'!$AA$74&lt;&gt;""),'0'!$D$74,"")</f>
        <v/>
      </c>
      <c r="G74" s="148" t="str">
        <f>IF(OR(IFERROR('0'!$W$74&gt;=$B$3,FALSE),'0'!$AC$74="Forcée",'0'!$X$74&lt;&gt;"",'0'!$AA$74&lt;&gt;""),'0'!$E$74,"")</f>
        <v/>
      </c>
      <c r="H74" s="148" t="str">
        <f>IF(OR(IFERROR('0'!$W$74&gt;=$B$3,FALSE),'0'!$AC$74="Forcée",'0'!$X$74&lt;&gt;"",'0'!$AA$74&lt;&gt;""),'0'!$H$74,"")</f>
        <v/>
      </c>
      <c r="I74" s="148" t="str">
        <f>IF(OR(IFERROR('0'!$W$74&gt;=$B$3,FALSE),'0'!$AC$74="Forcée",'0'!$X$74&lt;&gt;"",'0'!$AA$74&lt;&gt;""),'0'!$W$74,"")</f>
        <v/>
      </c>
      <c r="J74" s="148" t="str">
        <f t="shared" si="2"/>
        <v/>
      </c>
      <c r="K74" s="148" t="str">
        <f>IF(A74="","",IF('0'!$AC$74="Forcée","Forcée",IF('0'!$AC$74="Exclue","Exclue","Automatique")))</f>
        <v/>
      </c>
      <c r="L74" s="148" t="str">
        <f>IF(A74="","",IF('0'!$AC$74="Exclue","Exclu",IF('0'!$W$74&gt;=$B$3,"Actif - risque significatif",IF(AND('0'!$W$74&lt;$B$3,'0'!$AD$74="Oui"),"Maîtrisé / clôturable","Maîtrisé - à vérifier"))))</f>
        <v/>
      </c>
      <c r="M74" s="148" t="str">
        <f>IF(A74="","",IF('0'!$W$74&gt;=16,"P1 - Critique",IF('0'!$W$74&gt;=13,"P2 - Haute",IF('0'!$W$74&gt;=9,"P3 - Moyenne","P4 - Basse"))))</f>
        <v/>
      </c>
      <c r="N74" s="148"/>
      <c r="O74" s="148" t="str">
        <f>IF(A74="","",'0'!$X$74)</f>
        <v/>
      </c>
      <c r="P74" s="148"/>
      <c r="Q74" s="148"/>
      <c r="R74" s="148" t="str">
        <f>IF(A74="","",'0'!$Z$74)</f>
        <v/>
      </c>
      <c r="S74" s="148"/>
      <c r="T74" s="148"/>
      <c r="U74" s="149"/>
      <c r="V74" s="150"/>
      <c r="W74" s="150" t="str">
        <f>IF(A74="","",'0'!$Y$74)</f>
        <v/>
      </c>
      <c r="X74" s="148"/>
      <c r="Y74" s="148"/>
      <c r="Z74" s="148"/>
      <c r="AA74" s="148"/>
      <c r="AB74" s="148" t="str">
        <f>IF(A74="","",'0'!$AA$74)</f>
        <v/>
      </c>
      <c r="AC74" s="148" t="str">
        <f>IF(A74="","",'0'!$AD$74)</f>
        <v/>
      </c>
      <c r="AD74" s="150" t="str">
        <f>IF(A74="","",'0'!$AE$74)</f>
        <v/>
      </c>
      <c r="AE74" s="148"/>
      <c r="AF74" s="148"/>
      <c r="AG74" s="148" t="str">
        <f>IF(A74="","",'0'!$AF$74)</f>
        <v/>
      </c>
      <c r="AH74" s="151" t="str">
        <f t="shared" si="3"/>
        <v/>
      </c>
    </row>
    <row r="75" spans="1:34">
      <c r="A75" s="148" t="str">
        <f>IF(OR(IFERROR('0'!$W$75&gt;=$B$3,FALSE),'0'!$AC$75="Forcée",'0'!$X$75&lt;&gt;"",'0'!$AA$75&lt;&gt;""),"0-75","")</f>
        <v/>
      </c>
      <c r="B75" s="148" t="str">
        <f>IF(OR(IFERROR('0'!$W$75&gt;=$B$3,FALSE),'0'!$AC$75="Forcée",'0'!$X$75&lt;&gt;"",'0'!$AA$75&lt;&gt;""),"0","")</f>
        <v/>
      </c>
      <c r="C75" s="148" t="str">
        <f>IF(OR(IFERROR('0'!$W$75&gt;=$B$3,FALSE),'0'!$AC$75="Forcée",'0'!$X$75&lt;&gt;"",'0'!$AA$75&lt;&gt;""),'0'!$A$75,"")</f>
        <v/>
      </c>
      <c r="D75" s="148" t="str">
        <f>IF(OR(IFERROR('0'!$W$75&gt;=$B$3,FALSE),'0'!$AC$75="Forcée",'0'!$X$75&lt;&gt;"",'0'!$AA$75&lt;&gt;""),'0'!$B$75,"")</f>
        <v/>
      </c>
      <c r="E75" s="148" t="str">
        <f>IF(OR(IFERROR('0'!$W$75&gt;=$B$3,FALSE),'0'!$AC$75="Forcée",'0'!$X$75&lt;&gt;"",'0'!$AA$75&lt;&gt;""),'0'!$C$75,"")</f>
        <v/>
      </c>
      <c r="F75" s="148" t="str">
        <f>IF(OR(IFERROR('0'!$W$75&gt;=$B$3,FALSE),'0'!$AC$75="Forcée",'0'!$X$75&lt;&gt;"",'0'!$AA$75&lt;&gt;""),'0'!$D$75,"")</f>
        <v/>
      </c>
      <c r="G75" s="148" t="str">
        <f>IF(OR(IFERROR('0'!$W$75&gt;=$B$3,FALSE),'0'!$AC$75="Forcée",'0'!$X$75&lt;&gt;"",'0'!$AA$75&lt;&gt;""),'0'!$E$75,"")</f>
        <v/>
      </c>
      <c r="H75" s="148" t="str">
        <f>IF(OR(IFERROR('0'!$W$75&gt;=$B$3,FALSE),'0'!$AC$75="Forcée",'0'!$X$75&lt;&gt;"",'0'!$AA$75&lt;&gt;""),'0'!$H$75,"")</f>
        <v/>
      </c>
      <c r="I75" s="148" t="str">
        <f>IF(OR(IFERROR('0'!$W$75&gt;=$B$3,FALSE),'0'!$AC$75="Forcée",'0'!$X$75&lt;&gt;"",'0'!$AA$75&lt;&gt;""),'0'!$W$75,"")</f>
        <v/>
      </c>
      <c r="J75" s="148" t="str">
        <f t="shared" si="2"/>
        <v/>
      </c>
      <c r="K75" s="148" t="str">
        <f>IF(A75="","",IF('0'!$AC$75="Forcée","Forcée",IF('0'!$AC$75="Exclue","Exclue","Automatique")))</f>
        <v/>
      </c>
      <c r="L75" s="148" t="str">
        <f>IF(A75="","",IF('0'!$AC$75="Exclue","Exclu",IF('0'!$W$75&gt;=$B$3,"Actif - risque significatif",IF(AND('0'!$W$75&lt;$B$3,'0'!$AD$75="Oui"),"Maîtrisé / clôturable","Maîtrisé - à vérifier"))))</f>
        <v/>
      </c>
      <c r="M75" s="148" t="str">
        <f>IF(A75="","",IF('0'!$W$75&gt;=16,"P1 - Critique",IF('0'!$W$75&gt;=13,"P2 - Haute",IF('0'!$W$75&gt;=9,"P3 - Moyenne","P4 - Basse"))))</f>
        <v/>
      </c>
      <c r="N75" s="148"/>
      <c r="O75" s="148" t="str">
        <f>IF(A75="","",'0'!$X$75)</f>
        <v/>
      </c>
      <c r="P75" s="148"/>
      <c r="Q75" s="148"/>
      <c r="R75" s="148" t="str">
        <f>IF(A75="","",'0'!$Z$75)</f>
        <v/>
      </c>
      <c r="S75" s="148"/>
      <c r="T75" s="148"/>
      <c r="U75" s="149"/>
      <c r="V75" s="150"/>
      <c r="W75" s="150" t="str">
        <f>IF(A75="","",'0'!$Y$75)</f>
        <v/>
      </c>
      <c r="X75" s="148"/>
      <c r="Y75" s="148"/>
      <c r="Z75" s="148"/>
      <c r="AA75" s="148"/>
      <c r="AB75" s="148" t="str">
        <f>IF(A75="","",'0'!$AA$75)</f>
        <v/>
      </c>
      <c r="AC75" s="148" t="str">
        <f>IF(A75="","",'0'!$AD$75)</f>
        <v/>
      </c>
      <c r="AD75" s="150" t="str">
        <f>IF(A75="","",'0'!$AE$75)</f>
        <v/>
      </c>
      <c r="AE75" s="148"/>
      <c r="AF75" s="148"/>
      <c r="AG75" s="148" t="str">
        <f>IF(A75="","",'0'!$AF$75)</f>
        <v/>
      </c>
      <c r="AH75" s="151" t="str">
        <f t="shared" si="3"/>
        <v/>
      </c>
    </row>
    <row r="76" spans="1:34">
      <c r="A76" s="148" t="str">
        <f>IF(OR(IFERROR('0'!$W$76&gt;=$B$3,FALSE),'0'!$AC$76="Forcée",'0'!$X$76&lt;&gt;"",'0'!$AA$76&lt;&gt;""),"0-76","")</f>
        <v/>
      </c>
      <c r="B76" s="148" t="str">
        <f>IF(OR(IFERROR('0'!$W$76&gt;=$B$3,FALSE),'0'!$AC$76="Forcée",'0'!$X$76&lt;&gt;"",'0'!$AA$76&lt;&gt;""),"0","")</f>
        <v/>
      </c>
      <c r="C76" s="148" t="str">
        <f>IF(OR(IFERROR('0'!$W$76&gt;=$B$3,FALSE),'0'!$AC$76="Forcée",'0'!$X$76&lt;&gt;"",'0'!$AA$76&lt;&gt;""),'0'!$A$76,"")</f>
        <v/>
      </c>
      <c r="D76" s="148" t="str">
        <f>IF(OR(IFERROR('0'!$W$76&gt;=$B$3,FALSE),'0'!$AC$76="Forcée",'0'!$X$76&lt;&gt;"",'0'!$AA$76&lt;&gt;""),'0'!$B$76,"")</f>
        <v/>
      </c>
      <c r="E76" s="148" t="str">
        <f>IF(OR(IFERROR('0'!$W$76&gt;=$B$3,FALSE),'0'!$AC$76="Forcée",'0'!$X$76&lt;&gt;"",'0'!$AA$76&lt;&gt;""),'0'!$C$76,"")</f>
        <v/>
      </c>
      <c r="F76" s="148" t="str">
        <f>IF(OR(IFERROR('0'!$W$76&gt;=$B$3,FALSE),'0'!$AC$76="Forcée",'0'!$X$76&lt;&gt;"",'0'!$AA$76&lt;&gt;""),'0'!$D$76,"")</f>
        <v/>
      </c>
      <c r="G76" s="148" t="str">
        <f>IF(OR(IFERROR('0'!$W$76&gt;=$B$3,FALSE),'0'!$AC$76="Forcée",'0'!$X$76&lt;&gt;"",'0'!$AA$76&lt;&gt;""),'0'!$E$76,"")</f>
        <v/>
      </c>
      <c r="H76" s="148" t="str">
        <f>IF(OR(IFERROR('0'!$W$76&gt;=$B$3,FALSE),'0'!$AC$76="Forcée",'0'!$X$76&lt;&gt;"",'0'!$AA$76&lt;&gt;""),'0'!$H$76,"")</f>
        <v/>
      </c>
      <c r="I76" s="148" t="str">
        <f>IF(OR(IFERROR('0'!$W$76&gt;=$B$3,FALSE),'0'!$AC$76="Forcée",'0'!$X$76&lt;&gt;"",'0'!$AA$76&lt;&gt;""),'0'!$W$76,"")</f>
        <v/>
      </c>
      <c r="J76" s="148" t="str">
        <f t="shared" si="2"/>
        <v/>
      </c>
      <c r="K76" s="148" t="str">
        <f>IF(A76="","",IF('0'!$AC$76="Forcée","Forcée",IF('0'!$AC$76="Exclue","Exclue","Automatique")))</f>
        <v/>
      </c>
      <c r="L76" s="148" t="str">
        <f>IF(A76="","",IF('0'!$AC$76="Exclue","Exclu",IF('0'!$W$76&gt;=$B$3,"Actif - risque significatif",IF(AND('0'!$W$76&lt;$B$3,'0'!$AD$76="Oui"),"Maîtrisé / clôturable","Maîtrisé - à vérifier"))))</f>
        <v/>
      </c>
      <c r="M76" s="148" t="str">
        <f>IF(A76="","",IF('0'!$W$76&gt;=16,"P1 - Critique",IF('0'!$W$76&gt;=13,"P2 - Haute",IF('0'!$W$76&gt;=9,"P3 - Moyenne","P4 - Basse"))))</f>
        <v/>
      </c>
      <c r="N76" s="148"/>
      <c r="O76" s="148" t="str">
        <f>IF(A76="","",'0'!$X$76)</f>
        <v/>
      </c>
      <c r="P76" s="148"/>
      <c r="Q76" s="148"/>
      <c r="R76" s="148" t="str">
        <f>IF(A76="","",'0'!$Z$76)</f>
        <v/>
      </c>
      <c r="S76" s="148"/>
      <c r="T76" s="148"/>
      <c r="U76" s="149"/>
      <c r="V76" s="150"/>
      <c r="W76" s="150" t="str">
        <f>IF(A76="","",'0'!$Y$76)</f>
        <v/>
      </c>
      <c r="X76" s="148"/>
      <c r="Y76" s="148"/>
      <c r="Z76" s="148"/>
      <c r="AA76" s="148"/>
      <c r="AB76" s="148" t="str">
        <f>IF(A76="","",'0'!$AA$76)</f>
        <v/>
      </c>
      <c r="AC76" s="148" t="str">
        <f>IF(A76="","",'0'!$AD$76)</f>
        <v/>
      </c>
      <c r="AD76" s="150" t="str">
        <f>IF(A76="","",'0'!$AE$76)</f>
        <v/>
      </c>
      <c r="AE76" s="148"/>
      <c r="AF76" s="148"/>
      <c r="AG76" s="148" t="str">
        <f>IF(A76="","",'0'!$AF$76)</f>
        <v/>
      </c>
      <c r="AH76" s="151" t="str">
        <f t="shared" si="3"/>
        <v/>
      </c>
    </row>
    <row r="77" spans="1:34">
      <c r="A77" s="148" t="str">
        <f>IF(OR(IFERROR('0'!$W$77&gt;=$B$3,FALSE),'0'!$AC$77="Forcée",'0'!$X$77&lt;&gt;"",'0'!$AA$77&lt;&gt;""),"0-77","")</f>
        <v/>
      </c>
      <c r="B77" s="148" t="str">
        <f>IF(OR(IFERROR('0'!$W$77&gt;=$B$3,FALSE),'0'!$AC$77="Forcée",'0'!$X$77&lt;&gt;"",'0'!$AA$77&lt;&gt;""),"0","")</f>
        <v/>
      </c>
      <c r="C77" s="148" t="str">
        <f>IF(OR(IFERROR('0'!$W$77&gt;=$B$3,FALSE),'0'!$AC$77="Forcée",'0'!$X$77&lt;&gt;"",'0'!$AA$77&lt;&gt;""),'0'!$A$77,"")</f>
        <v/>
      </c>
      <c r="D77" s="148" t="str">
        <f>IF(OR(IFERROR('0'!$W$77&gt;=$B$3,FALSE),'0'!$AC$77="Forcée",'0'!$X$77&lt;&gt;"",'0'!$AA$77&lt;&gt;""),'0'!$B$77,"")</f>
        <v/>
      </c>
      <c r="E77" s="148" t="str">
        <f>IF(OR(IFERROR('0'!$W$77&gt;=$B$3,FALSE),'0'!$AC$77="Forcée",'0'!$X$77&lt;&gt;"",'0'!$AA$77&lt;&gt;""),'0'!$C$77,"")</f>
        <v/>
      </c>
      <c r="F77" s="148" t="str">
        <f>IF(OR(IFERROR('0'!$W$77&gt;=$B$3,FALSE),'0'!$AC$77="Forcée",'0'!$X$77&lt;&gt;"",'0'!$AA$77&lt;&gt;""),'0'!$D$77,"")</f>
        <v/>
      </c>
      <c r="G77" s="148" t="str">
        <f>IF(OR(IFERROR('0'!$W$77&gt;=$B$3,FALSE),'0'!$AC$77="Forcée",'0'!$X$77&lt;&gt;"",'0'!$AA$77&lt;&gt;""),'0'!$E$77,"")</f>
        <v/>
      </c>
      <c r="H77" s="148" t="str">
        <f>IF(OR(IFERROR('0'!$W$77&gt;=$B$3,FALSE),'0'!$AC$77="Forcée",'0'!$X$77&lt;&gt;"",'0'!$AA$77&lt;&gt;""),'0'!$H$77,"")</f>
        <v/>
      </c>
      <c r="I77" s="148" t="str">
        <f>IF(OR(IFERROR('0'!$W$77&gt;=$B$3,FALSE),'0'!$AC$77="Forcée",'0'!$X$77&lt;&gt;"",'0'!$AA$77&lt;&gt;""),'0'!$W$77,"")</f>
        <v/>
      </c>
      <c r="J77" s="148" t="str">
        <f t="shared" si="2"/>
        <v/>
      </c>
      <c r="K77" s="148" t="str">
        <f>IF(A77="","",IF('0'!$AC$77="Forcée","Forcée",IF('0'!$AC$77="Exclue","Exclue","Automatique")))</f>
        <v/>
      </c>
      <c r="L77" s="148" t="str">
        <f>IF(A77="","",IF('0'!$AC$77="Exclue","Exclu",IF('0'!$W$77&gt;=$B$3,"Actif - risque significatif",IF(AND('0'!$W$77&lt;$B$3,'0'!$AD$77="Oui"),"Maîtrisé / clôturable","Maîtrisé - à vérifier"))))</f>
        <v/>
      </c>
      <c r="M77" s="148" t="str">
        <f>IF(A77="","",IF('0'!$W$77&gt;=16,"P1 - Critique",IF('0'!$W$77&gt;=13,"P2 - Haute",IF('0'!$W$77&gt;=9,"P3 - Moyenne","P4 - Basse"))))</f>
        <v/>
      </c>
      <c r="N77" s="148"/>
      <c r="O77" s="148" t="str">
        <f>IF(A77="","",'0'!$X$77)</f>
        <v/>
      </c>
      <c r="P77" s="148"/>
      <c r="Q77" s="148"/>
      <c r="R77" s="148" t="str">
        <f>IF(A77="","",'0'!$Z$77)</f>
        <v/>
      </c>
      <c r="S77" s="148"/>
      <c r="T77" s="148"/>
      <c r="U77" s="149"/>
      <c r="V77" s="150"/>
      <c r="W77" s="150" t="str">
        <f>IF(A77="","",'0'!$Y$77)</f>
        <v/>
      </c>
      <c r="X77" s="148"/>
      <c r="Y77" s="148"/>
      <c r="Z77" s="148"/>
      <c r="AA77" s="148"/>
      <c r="AB77" s="148" t="str">
        <f>IF(A77="","",'0'!$AA$77)</f>
        <v/>
      </c>
      <c r="AC77" s="148" t="str">
        <f>IF(A77="","",'0'!$AD$77)</f>
        <v/>
      </c>
      <c r="AD77" s="150" t="str">
        <f>IF(A77="","",'0'!$AE$77)</f>
        <v/>
      </c>
      <c r="AE77" s="148"/>
      <c r="AF77" s="148"/>
      <c r="AG77" s="148" t="str">
        <f>IF(A77="","",'0'!$AF$77)</f>
        <v/>
      </c>
      <c r="AH77" s="151" t="str">
        <f t="shared" si="3"/>
        <v/>
      </c>
    </row>
    <row r="78" spans="1:34">
      <c r="A78" s="148" t="str">
        <f>IF(OR(IFERROR('UT1'!$W$6&gt;=$B$3,FALSE),'UT1'!$AC$6="Forcée",'UT1'!$X$6&lt;&gt;"",'UT1'!$AA$6&lt;&gt;""),"UT1-6","")</f>
        <v/>
      </c>
      <c r="B78" s="148" t="str">
        <f>IF(OR(IFERROR('UT1'!$W$6&gt;=$B$3,FALSE),'UT1'!$AC$6="Forcée",'UT1'!$X$6&lt;&gt;"",'UT1'!$AA$6&lt;&gt;""),"UT1","")</f>
        <v/>
      </c>
      <c r="C78" s="148" t="str">
        <f>IF(OR(IFERROR('UT1'!$W$6&gt;=$B$3,FALSE),'UT1'!$AC$6="Forcée",'UT1'!$X$6&lt;&gt;"",'UT1'!$AA$6&lt;&gt;""),'UT1'!$A$6,"")</f>
        <v/>
      </c>
      <c r="D78" s="148" t="str">
        <f>IF(OR(IFERROR('UT1'!$W$6&gt;=$B$3,FALSE),'UT1'!$AC$6="Forcée",'UT1'!$X$6&lt;&gt;"",'UT1'!$AA$6&lt;&gt;""),'UT1'!$B$6,"")</f>
        <v/>
      </c>
      <c r="E78" s="148" t="str">
        <f>IF(OR(IFERROR('UT1'!$W$6&gt;=$B$3,FALSE),'UT1'!$AC$6="Forcée",'UT1'!$X$6&lt;&gt;"",'UT1'!$AA$6&lt;&gt;""),'UT1'!$C$6,"")</f>
        <v/>
      </c>
      <c r="F78" s="148" t="str">
        <f>IF(OR(IFERROR('UT1'!$W$6&gt;=$B$3,FALSE),'UT1'!$AC$6="Forcée",'UT1'!$X$6&lt;&gt;"",'UT1'!$AA$6&lt;&gt;""),'UT1'!$D$6,"")</f>
        <v/>
      </c>
      <c r="G78" s="148" t="str">
        <f>IF(OR(IFERROR('UT1'!$W$6&gt;=$B$3,FALSE),'UT1'!$AC$6="Forcée",'UT1'!$X$6&lt;&gt;"",'UT1'!$AA$6&lt;&gt;""),'UT1'!$E$6,"")</f>
        <v/>
      </c>
      <c r="H78" s="148" t="str">
        <f>IF(OR(IFERROR('UT1'!$W$6&gt;=$B$3,FALSE),'UT1'!$AC$6="Forcée",'UT1'!$X$6&lt;&gt;"",'UT1'!$AA$6&lt;&gt;""),'UT1'!$H$6,"")</f>
        <v/>
      </c>
      <c r="I78" s="148" t="str">
        <f>IF(OR(IFERROR('UT1'!$W$6&gt;=$B$3,FALSE),'UT1'!$AC$6="Forcée",'UT1'!$X$6&lt;&gt;"",'UT1'!$AA$6&lt;&gt;""),'UT1'!$W$6,"")</f>
        <v/>
      </c>
      <c r="J78" s="148" t="str">
        <f t="shared" si="2"/>
        <v/>
      </c>
      <c r="K78" s="148" t="str">
        <f>IF(A78="","",IF('UT1'!$AC$6="Forcée","Forcée",IF('UT1'!$AC$6="Exclue","Exclue","Automatique")))</f>
        <v/>
      </c>
      <c r="L78" s="148" t="str">
        <f>IF(A78="","",IF('UT1'!$AC$6="Exclue","Exclu",IF('UT1'!$W$6&gt;=$B$3,"Actif - risque significatif",IF(AND('UT1'!$W$6&lt;$B$3,'UT1'!$AD$6="Oui"),"Maîtrisé / clôturable","Maîtrisé - à vérifier"))))</f>
        <v/>
      </c>
      <c r="M78" s="148" t="str">
        <f>IF(A78="","",IF('UT1'!$W$6&gt;=16,"P1 - Critique",IF('UT1'!$W$6&gt;=13,"P2 - Haute",IF('UT1'!$W$6&gt;=9,"P3 - Moyenne","P4 - Basse"))))</f>
        <v/>
      </c>
      <c r="N78" s="148"/>
      <c r="O78" s="148" t="str">
        <f>IF(A78="","",'UT1'!$X$6)</f>
        <v/>
      </c>
      <c r="P78" s="148"/>
      <c r="Q78" s="148"/>
      <c r="R78" s="148" t="str">
        <f>IF(A78="","",'UT1'!$Z$6)</f>
        <v/>
      </c>
      <c r="S78" s="148"/>
      <c r="T78" s="148"/>
      <c r="U78" s="149"/>
      <c r="V78" s="150"/>
      <c r="W78" s="150" t="str">
        <f>IF(A78="","",'UT1'!$Y$6)</f>
        <v/>
      </c>
      <c r="X78" s="148"/>
      <c r="Y78" s="148"/>
      <c r="Z78" s="148"/>
      <c r="AA78" s="148"/>
      <c r="AB78" s="148" t="str">
        <f>IF(A78="","",'UT1'!$AA$6)</f>
        <v/>
      </c>
      <c r="AC78" s="148" t="str">
        <f>IF(A78="","",'UT1'!$AD$6)</f>
        <v/>
      </c>
      <c r="AD78" s="150" t="str">
        <f>IF(A78="","",'UT1'!$AE$6)</f>
        <v/>
      </c>
      <c r="AE78" s="148"/>
      <c r="AF78" s="148"/>
      <c r="AG78" s="148" t="str">
        <f>IF(A78="","",'UT1'!$AF$6)</f>
        <v/>
      </c>
      <c r="AH78" s="151" t="str">
        <f t="shared" si="3"/>
        <v/>
      </c>
    </row>
    <row r="79" spans="1:34">
      <c r="A79" s="148" t="str">
        <f>IF(OR(IFERROR('UT1'!$W$7&gt;=$B$3,FALSE),'UT1'!$AC$7="Forcée",'UT1'!$X$7&lt;&gt;"",'UT1'!$AA$7&lt;&gt;""),"UT1-7","")</f>
        <v/>
      </c>
      <c r="B79" s="148" t="str">
        <f>IF(OR(IFERROR('UT1'!$W$7&gt;=$B$3,FALSE),'UT1'!$AC$7="Forcée",'UT1'!$X$7&lt;&gt;"",'UT1'!$AA$7&lt;&gt;""),"UT1","")</f>
        <v/>
      </c>
      <c r="C79" s="148" t="str">
        <f>IF(OR(IFERROR('UT1'!$W$7&gt;=$B$3,FALSE),'UT1'!$AC$7="Forcée",'UT1'!$X$7&lt;&gt;"",'UT1'!$AA$7&lt;&gt;""),'UT1'!$A$7,"")</f>
        <v/>
      </c>
      <c r="D79" s="148" t="str">
        <f>IF(OR(IFERROR('UT1'!$W$7&gt;=$B$3,FALSE),'UT1'!$AC$7="Forcée",'UT1'!$X$7&lt;&gt;"",'UT1'!$AA$7&lt;&gt;""),'UT1'!$B$7,"")</f>
        <v/>
      </c>
      <c r="E79" s="148" t="str">
        <f>IF(OR(IFERROR('UT1'!$W$7&gt;=$B$3,FALSE),'UT1'!$AC$7="Forcée",'UT1'!$X$7&lt;&gt;"",'UT1'!$AA$7&lt;&gt;""),'UT1'!$C$7,"")</f>
        <v/>
      </c>
      <c r="F79" s="148" t="str">
        <f>IF(OR(IFERROR('UT1'!$W$7&gt;=$B$3,FALSE),'UT1'!$AC$7="Forcée",'UT1'!$X$7&lt;&gt;"",'UT1'!$AA$7&lt;&gt;""),'UT1'!$D$7,"")</f>
        <v/>
      </c>
      <c r="G79" s="148" t="str">
        <f>IF(OR(IFERROR('UT1'!$W$7&gt;=$B$3,FALSE),'UT1'!$AC$7="Forcée",'UT1'!$X$7&lt;&gt;"",'UT1'!$AA$7&lt;&gt;""),'UT1'!$E$7,"")</f>
        <v/>
      </c>
      <c r="H79" s="148" t="str">
        <f>IF(OR(IFERROR('UT1'!$W$7&gt;=$B$3,FALSE),'UT1'!$AC$7="Forcée",'UT1'!$X$7&lt;&gt;"",'UT1'!$AA$7&lt;&gt;""),'UT1'!$H$7,"")</f>
        <v/>
      </c>
      <c r="I79" s="148" t="str">
        <f>IF(OR(IFERROR('UT1'!$W$7&gt;=$B$3,FALSE),'UT1'!$AC$7="Forcée",'UT1'!$X$7&lt;&gt;"",'UT1'!$AA$7&lt;&gt;""),'UT1'!$W$7,"")</f>
        <v/>
      </c>
      <c r="J79" s="148" t="str">
        <f t="shared" si="2"/>
        <v/>
      </c>
      <c r="K79" s="148" t="str">
        <f>IF(A79="","",IF('UT1'!$AC$7="Forcée","Forcée",IF('UT1'!$AC$7="Exclue","Exclue","Automatique")))</f>
        <v/>
      </c>
      <c r="L79" s="148" t="str">
        <f>IF(A79="","",IF('UT1'!$AC$7="Exclue","Exclu",IF('UT1'!$W$7&gt;=$B$3,"Actif - risque significatif",IF(AND('UT1'!$W$7&lt;$B$3,'UT1'!$AD$7="Oui"),"Maîtrisé / clôturable","Maîtrisé - à vérifier"))))</f>
        <v/>
      </c>
      <c r="M79" s="148" t="str">
        <f>IF(A79="","",IF('UT1'!$W$7&gt;=16,"P1 - Critique",IF('UT1'!$W$7&gt;=13,"P2 - Haute",IF('UT1'!$W$7&gt;=9,"P3 - Moyenne","P4 - Basse"))))</f>
        <v/>
      </c>
      <c r="N79" s="148"/>
      <c r="O79" s="148" t="str">
        <f>IF(A79="","",'UT1'!$X$7)</f>
        <v/>
      </c>
      <c r="P79" s="148"/>
      <c r="Q79" s="148"/>
      <c r="R79" s="148" t="str">
        <f>IF(A79="","",'UT1'!$Z$7)</f>
        <v/>
      </c>
      <c r="S79" s="148"/>
      <c r="T79" s="148"/>
      <c r="U79" s="149"/>
      <c r="V79" s="150"/>
      <c r="W79" s="150" t="str">
        <f>IF(A79="","",'UT1'!$Y$7)</f>
        <v/>
      </c>
      <c r="X79" s="148"/>
      <c r="Y79" s="148"/>
      <c r="Z79" s="148"/>
      <c r="AA79" s="148"/>
      <c r="AB79" s="148" t="str">
        <f>IF(A79="","",'UT1'!$AA$7)</f>
        <v/>
      </c>
      <c r="AC79" s="148" t="str">
        <f>IF(A79="","",'UT1'!$AD$7)</f>
        <v/>
      </c>
      <c r="AD79" s="150" t="str">
        <f>IF(A79="","",'UT1'!$AE$7)</f>
        <v/>
      </c>
      <c r="AE79" s="148"/>
      <c r="AF79" s="148"/>
      <c r="AG79" s="148" t="str">
        <f>IF(A79="","",'UT1'!$AF$7)</f>
        <v/>
      </c>
      <c r="AH79" s="151" t="str">
        <f t="shared" si="3"/>
        <v/>
      </c>
    </row>
    <row r="80" spans="1:34">
      <c r="A80" s="148" t="str">
        <f>IF(OR(IFERROR('UT1'!$W$8&gt;=$B$3,FALSE),'UT1'!$AC$8="Forcée",'UT1'!$X$8&lt;&gt;"",'UT1'!$AA$8&lt;&gt;""),"UT1-8","")</f>
        <v/>
      </c>
      <c r="B80" s="148" t="str">
        <f>IF(OR(IFERROR('UT1'!$W$8&gt;=$B$3,FALSE),'UT1'!$AC$8="Forcée",'UT1'!$X$8&lt;&gt;"",'UT1'!$AA$8&lt;&gt;""),"UT1","")</f>
        <v/>
      </c>
      <c r="C80" s="148" t="str">
        <f>IF(OR(IFERROR('UT1'!$W$8&gt;=$B$3,FALSE),'UT1'!$AC$8="Forcée",'UT1'!$X$8&lt;&gt;"",'UT1'!$AA$8&lt;&gt;""),'UT1'!$A$8,"")</f>
        <v/>
      </c>
      <c r="D80" s="148" t="str">
        <f>IF(OR(IFERROR('UT1'!$W$8&gt;=$B$3,FALSE),'UT1'!$AC$8="Forcée",'UT1'!$X$8&lt;&gt;"",'UT1'!$AA$8&lt;&gt;""),'UT1'!$B$8,"")</f>
        <v/>
      </c>
      <c r="E80" s="148" t="str">
        <f>IF(OR(IFERROR('UT1'!$W$8&gt;=$B$3,FALSE),'UT1'!$AC$8="Forcée",'UT1'!$X$8&lt;&gt;"",'UT1'!$AA$8&lt;&gt;""),'UT1'!$C$8,"")</f>
        <v/>
      </c>
      <c r="F80" s="148" t="str">
        <f>IF(OR(IFERROR('UT1'!$W$8&gt;=$B$3,FALSE),'UT1'!$AC$8="Forcée",'UT1'!$X$8&lt;&gt;"",'UT1'!$AA$8&lt;&gt;""),'UT1'!$D$8,"")</f>
        <v/>
      </c>
      <c r="G80" s="148" t="str">
        <f>IF(OR(IFERROR('UT1'!$W$8&gt;=$B$3,FALSE),'UT1'!$AC$8="Forcée",'UT1'!$X$8&lt;&gt;"",'UT1'!$AA$8&lt;&gt;""),'UT1'!$E$8,"")</f>
        <v/>
      </c>
      <c r="H80" s="148" t="str">
        <f>IF(OR(IFERROR('UT1'!$W$8&gt;=$B$3,FALSE),'UT1'!$AC$8="Forcée",'UT1'!$X$8&lt;&gt;"",'UT1'!$AA$8&lt;&gt;""),'UT1'!$H$8,"")</f>
        <v/>
      </c>
      <c r="I80" s="148" t="str">
        <f>IF(OR(IFERROR('UT1'!$W$8&gt;=$B$3,FALSE),'UT1'!$AC$8="Forcée",'UT1'!$X$8&lt;&gt;"",'UT1'!$AA$8&lt;&gt;""),'UT1'!$W$8,"")</f>
        <v/>
      </c>
      <c r="J80" s="148" t="str">
        <f t="shared" si="2"/>
        <v/>
      </c>
      <c r="K80" s="148" t="str">
        <f>IF(A80="","",IF('UT1'!$AC$8="Forcée","Forcée",IF('UT1'!$AC$8="Exclue","Exclue","Automatique")))</f>
        <v/>
      </c>
      <c r="L80" s="148" t="str">
        <f>IF(A80="","",IF('UT1'!$AC$8="Exclue","Exclu",IF('UT1'!$W$8&gt;=$B$3,"Actif - risque significatif",IF(AND('UT1'!$W$8&lt;$B$3,'UT1'!$AD$8="Oui"),"Maîtrisé / clôturable","Maîtrisé - à vérifier"))))</f>
        <v/>
      </c>
      <c r="M80" s="148" t="str">
        <f>IF(A80="","",IF('UT1'!$W$8&gt;=16,"P1 - Critique",IF('UT1'!$W$8&gt;=13,"P2 - Haute",IF('UT1'!$W$8&gt;=9,"P3 - Moyenne","P4 - Basse"))))</f>
        <v/>
      </c>
      <c r="N80" s="148"/>
      <c r="O80" s="148" t="str">
        <f>IF(A80="","",'UT1'!$X$8)</f>
        <v/>
      </c>
      <c r="P80" s="148"/>
      <c r="Q80" s="148"/>
      <c r="R80" s="148" t="str">
        <f>IF(A80="","",'UT1'!$Z$8)</f>
        <v/>
      </c>
      <c r="S80" s="148"/>
      <c r="T80" s="148"/>
      <c r="U80" s="149"/>
      <c r="V80" s="150"/>
      <c r="W80" s="150" t="str">
        <f>IF(A80="","",'UT1'!$Y$8)</f>
        <v/>
      </c>
      <c r="X80" s="148"/>
      <c r="Y80" s="148"/>
      <c r="Z80" s="148"/>
      <c r="AA80" s="148"/>
      <c r="AB80" s="148" t="str">
        <f>IF(A80="","",'UT1'!$AA$8)</f>
        <v/>
      </c>
      <c r="AC80" s="148" t="str">
        <f>IF(A80="","",'UT1'!$AD$8)</f>
        <v/>
      </c>
      <c r="AD80" s="150" t="str">
        <f>IF(A80="","",'UT1'!$AE$8)</f>
        <v/>
      </c>
      <c r="AE80" s="148"/>
      <c r="AF80" s="148"/>
      <c r="AG80" s="148" t="str">
        <f>IF(A80="","",'UT1'!$AF$8)</f>
        <v/>
      </c>
      <c r="AH80" s="151" t="str">
        <f t="shared" si="3"/>
        <v/>
      </c>
    </row>
    <row r="81" spans="1:34">
      <c r="A81" s="148" t="str">
        <f>IF(OR(IFERROR('UT1'!$W$9&gt;=$B$3,FALSE),'UT1'!$AC$9="Forcée",'UT1'!$X$9&lt;&gt;"",'UT1'!$AA$9&lt;&gt;""),"UT1-9","")</f>
        <v/>
      </c>
      <c r="B81" s="148" t="str">
        <f>IF(OR(IFERROR('UT1'!$W$9&gt;=$B$3,FALSE),'UT1'!$AC$9="Forcée",'UT1'!$X$9&lt;&gt;"",'UT1'!$AA$9&lt;&gt;""),"UT1","")</f>
        <v/>
      </c>
      <c r="C81" s="148" t="str">
        <f>IF(OR(IFERROR('UT1'!$W$9&gt;=$B$3,FALSE),'UT1'!$AC$9="Forcée",'UT1'!$X$9&lt;&gt;"",'UT1'!$AA$9&lt;&gt;""),'UT1'!$A$9,"")</f>
        <v/>
      </c>
      <c r="D81" s="148" t="str">
        <f>IF(OR(IFERROR('UT1'!$W$9&gt;=$B$3,FALSE),'UT1'!$AC$9="Forcée",'UT1'!$X$9&lt;&gt;"",'UT1'!$AA$9&lt;&gt;""),'UT1'!$B$9,"")</f>
        <v/>
      </c>
      <c r="E81" s="148" t="str">
        <f>IF(OR(IFERROR('UT1'!$W$9&gt;=$B$3,FALSE),'UT1'!$AC$9="Forcée",'UT1'!$X$9&lt;&gt;"",'UT1'!$AA$9&lt;&gt;""),'UT1'!$C$9,"")</f>
        <v/>
      </c>
      <c r="F81" s="148" t="str">
        <f>IF(OR(IFERROR('UT1'!$W$9&gt;=$B$3,FALSE),'UT1'!$AC$9="Forcée",'UT1'!$X$9&lt;&gt;"",'UT1'!$AA$9&lt;&gt;""),'UT1'!$D$9,"")</f>
        <v/>
      </c>
      <c r="G81" s="148" t="str">
        <f>IF(OR(IFERROR('UT1'!$W$9&gt;=$B$3,FALSE),'UT1'!$AC$9="Forcée",'UT1'!$X$9&lt;&gt;"",'UT1'!$AA$9&lt;&gt;""),'UT1'!$E$9,"")</f>
        <v/>
      </c>
      <c r="H81" s="148" t="str">
        <f>IF(OR(IFERROR('UT1'!$W$9&gt;=$B$3,FALSE),'UT1'!$AC$9="Forcée",'UT1'!$X$9&lt;&gt;"",'UT1'!$AA$9&lt;&gt;""),'UT1'!$H$9,"")</f>
        <v/>
      </c>
      <c r="I81" s="148" t="str">
        <f>IF(OR(IFERROR('UT1'!$W$9&gt;=$B$3,FALSE),'UT1'!$AC$9="Forcée",'UT1'!$X$9&lt;&gt;"",'UT1'!$AA$9&lt;&gt;""),'UT1'!$W$9,"")</f>
        <v/>
      </c>
      <c r="J81" s="148" t="str">
        <f t="shared" si="2"/>
        <v/>
      </c>
      <c r="K81" s="148" t="str">
        <f>IF(A81="","",IF('UT1'!$AC$9="Forcée","Forcée",IF('UT1'!$AC$9="Exclue","Exclue","Automatique")))</f>
        <v/>
      </c>
      <c r="L81" s="148" t="str">
        <f>IF(A81="","",IF('UT1'!$AC$9="Exclue","Exclu",IF('UT1'!$W$9&gt;=$B$3,"Actif - risque significatif",IF(AND('UT1'!$W$9&lt;$B$3,'UT1'!$AD$9="Oui"),"Maîtrisé / clôturable","Maîtrisé - à vérifier"))))</f>
        <v/>
      </c>
      <c r="M81" s="148" t="str">
        <f>IF(A81="","",IF('UT1'!$W$9&gt;=16,"P1 - Critique",IF('UT1'!$W$9&gt;=13,"P2 - Haute",IF('UT1'!$W$9&gt;=9,"P3 - Moyenne","P4 - Basse"))))</f>
        <v/>
      </c>
      <c r="N81" s="148"/>
      <c r="O81" s="148" t="str">
        <f>IF(A81="","",'UT1'!$X$9)</f>
        <v/>
      </c>
      <c r="P81" s="148"/>
      <c r="Q81" s="148"/>
      <c r="R81" s="148" t="str">
        <f>IF(A81="","",'UT1'!$Z$9)</f>
        <v/>
      </c>
      <c r="S81" s="148"/>
      <c r="T81" s="148"/>
      <c r="U81" s="149"/>
      <c r="V81" s="150"/>
      <c r="W81" s="150" t="str">
        <f>IF(A81="","",'UT1'!$Y$9)</f>
        <v/>
      </c>
      <c r="X81" s="148"/>
      <c r="Y81" s="148"/>
      <c r="Z81" s="148"/>
      <c r="AA81" s="148"/>
      <c r="AB81" s="148" t="str">
        <f>IF(A81="","",'UT1'!$AA$9)</f>
        <v/>
      </c>
      <c r="AC81" s="148" t="str">
        <f>IF(A81="","",'UT1'!$AD$9)</f>
        <v/>
      </c>
      <c r="AD81" s="150" t="str">
        <f>IF(A81="","",'UT1'!$AE$9)</f>
        <v/>
      </c>
      <c r="AE81" s="148"/>
      <c r="AF81" s="148"/>
      <c r="AG81" s="148" t="str">
        <f>IF(A81="","",'UT1'!$AF$9)</f>
        <v/>
      </c>
      <c r="AH81" s="151" t="str">
        <f t="shared" si="3"/>
        <v/>
      </c>
    </row>
    <row r="82" spans="1:34">
      <c r="A82" s="148" t="str">
        <f>IF(OR(IFERROR('UT1'!$W$10&gt;=$B$3,FALSE),'UT1'!$AC$10="Forcée",'UT1'!$X$10&lt;&gt;"",'UT1'!$AA$10&lt;&gt;""),"UT1-10","")</f>
        <v/>
      </c>
      <c r="B82" s="148" t="str">
        <f>IF(OR(IFERROR('UT1'!$W$10&gt;=$B$3,FALSE),'UT1'!$AC$10="Forcée",'UT1'!$X$10&lt;&gt;"",'UT1'!$AA$10&lt;&gt;""),"UT1","")</f>
        <v/>
      </c>
      <c r="C82" s="148" t="str">
        <f>IF(OR(IFERROR('UT1'!$W$10&gt;=$B$3,FALSE),'UT1'!$AC$10="Forcée",'UT1'!$X$10&lt;&gt;"",'UT1'!$AA$10&lt;&gt;""),'UT1'!$A$10,"")</f>
        <v/>
      </c>
      <c r="D82" s="148" t="str">
        <f>IF(OR(IFERROR('UT1'!$W$10&gt;=$B$3,FALSE),'UT1'!$AC$10="Forcée",'UT1'!$X$10&lt;&gt;"",'UT1'!$AA$10&lt;&gt;""),'UT1'!$B$10,"")</f>
        <v/>
      </c>
      <c r="E82" s="148" t="str">
        <f>IF(OR(IFERROR('UT1'!$W$10&gt;=$B$3,FALSE),'UT1'!$AC$10="Forcée",'UT1'!$X$10&lt;&gt;"",'UT1'!$AA$10&lt;&gt;""),'UT1'!$C$10,"")</f>
        <v/>
      </c>
      <c r="F82" s="148" t="str">
        <f>IF(OR(IFERROR('UT1'!$W$10&gt;=$B$3,FALSE),'UT1'!$AC$10="Forcée",'UT1'!$X$10&lt;&gt;"",'UT1'!$AA$10&lt;&gt;""),'UT1'!$D$10,"")</f>
        <v/>
      </c>
      <c r="G82" s="148" t="str">
        <f>IF(OR(IFERROR('UT1'!$W$10&gt;=$B$3,FALSE),'UT1'!$AC$10="Forcée",'UT1'!$X$10&lt;&gt;"",'UT1'!$AA$10&lt;&gt;""),'UT1'!$E$10,"")</f>
        <v/>
      </c>
      <c r="H82" s="148" t="str">
        <f>IF(OR(IFERROR('UT1'!$W$10&gt;=$B$3,FALSE),'UT1'!$AC$10="Forcée",'UT1'!$X$10&lt;&gt;"",'UT1'!$AA$10&lt;&gt;""),'UT1'!$H$10,"")</f>
        <v/>
      </c>
      <c r="I82" s="148" t="str">
        <f>IF(OR(IFERROR('UT1'!$W$10&gt;=$B$3,FALSE),'UT1'!$AC$10="Forcée",'UT1'!$X$10&lt;&gt;"",'UT1'!$AA$10&lt;&gt;""),'UT1'!$W$10,"")</f>
        <v/>
      </c>
      <c r="J82" s="148" t="str">
        <f t="shared" si="2"/>
        <v/>
      </c>
      <c r="K82" s="148" t="str">
        <f>IF(A82="","",IF('UT1'!$AC$10="Forcée","Forcée",IF('UT1'!$AC$10="Exclue","Exclue","Automatique")))</f>
        <v/>
      </c>
      <c r="L82" s="148" t="str">
        <f>IF(A82="","",IF('UT1'!$AC$10="Exclue","Exclu",IF('UT1'!$W$10&gt;=$B$3,"Actif - risque significatif",IF(AND('UT1'!$W$10&lt;$B$3,'UT1'!$AD$10="Oui"),"Maîtrisé / clôturable","Maîtrisé - à vérifier"))))</f>
        <v/>
      </c>
      <c r="M82" s="148" t="str">
        <f>IF(A82="","",IF('UT1'!$W$10&gt;=16,"P1 - Critique",IF('UT1'!$W$10&gt;=13,"P2 - Haute",IF('UT1'!$W$10&gt;=9,"P3 - Moyenne","P4 - Basse"))))</f>
        <v/>
      </c>
      <c r="N82" s="148"/>
      <c r="O82" s="148" t="str">
        <f>IF(A82="","",'UT1'!$X$10)</f>
        <v/>
      </c>
      <c r="P82" s="148"/>
      <c r="Q82" s="148"/>
      <c r="R82" s="148" t="str">
        <f>IF(A82="","",'UT1'!$Z$10)</f>
        <v/>
      </c>
      <c r="S82" s="148"/>
      <c r="T82" s="148"/>
      <c r="U82" s="149"/>
      <c r="V82" s="150"/>
      <c r="W82" s="150" t="str">
        <f>IF(A82="","",'UT1'!$Y$10)</f>
        <v/>
      </c>
      <c r="X82" s="148"/>
      <c r="Y82" s="148"/>
      <c r="Z82" s="148"/>
      <c r="AA82" s="148"/>
      <c r="AB82" s="148" t="str">
        <f>IF(A82="","",'UT1'!$AA$10)</f>
        <v/>
      </c>
      <c r="AC82" s="148" t="str">
        <f>IF(A82="","",'UT1'!$AD$10)</f>
        <v/>
      </c>
      <c r="AD82" s="150" t="str">
        <f>IF(A82="","",'UT1'!$AE$10)</f>
        <v/>
      </c>
      <c r="AE82" s="148"/>
      <c r="AF82" s="148"/>
      <c r="AG82" s="148" t="str">
        <f>IF(A82="","",'UT1'!$AF$10)</f>
        <v/>
      </c>
      <c r="AH82" s="151" t="str">
        <f t="shared" si="3"/>
        <v/>
      </c>
    </row>
    <row r="83" spans="1:34">
      <c r="A83" s="148" t="str">
        <f>IF(OR(IFERROR('UT1'!$W$11&gt;=$B$3,FALSE),'UT1'!$AC$11="Forcée",'UT1'!$X$11&lt;&gt;"",'UT1'!$AA$11&lt;&gt;""),"UT1-11","")</f>
        <v/>
      </c>
      <c r="B83" s="148" t="str">
        <f>IF(OR(IFERROR('UT1'!$W$11&gt;=$B$3,FALSE),'UT1'!$AC$11="Forcée",'UT1'!$X$11&lt;&gt;"",'UT1'!$AA$11&lt;&gt;""),"UT1","")</f>
        <v/>
      </c>
      <c r="C83" s="148" t="str">
        <f>IF(OR(IFERROR('UT1'!$W$11&gt;=$B$3,FALSE),'UT1'!$AC$11="Forcée",'UT1'!$X$11&lt;&gt;"",'UT1'!$AA$11&lt;&gt;""),'UT1'!$A$11,"")</f>
        <v/>
      </c>
      <c r="D83" s="148" t="str">
        <f>IF(OR(IFERROR('UT1'!$W$11&gt;=$B$3,FALSE),'UT1'!$AC$11="Forcée",'UT1'!$X$11&lt;&gt;"",'UT1'!$AA$11&lt;&gt;""),'UT1'!$B$11,"")</f>
        <v/>
      </c>
      <c r="E83" s="148" t="str">
        <f>IF(OR(IFERROR('UT1'!$W$11&gt;=$B$3,FALSE),'UT1'!$AC$11="Forcée",'UT1'!$X$11&lt;&gt;"",'UT1'!$AA$11&lt;&gt;""),'UT1'!$C$11,"")</f>
        <v/>
      </c>
      <c r="F83" s="148" t="str">
        <f>IF(OR(IFERROR('UT1'!$W$11&gt;=$B$3,FALSE),'UT1'!$AC$11="Forcée",'UT1'!$X$11&lt;&gt;"",'UT1'!$AA$11&lt;&gt;""),'UT1'!$D$11,"")</f>
        <v/>
      </c>
      <c r="G83" s="148" t="str">
        <f>IF(OR(IFERROR('UT1'!$W$11&gt;=$B$3,FALSE),'UT1'!$AC$11="Forcée",'UT1'!$X$11&lt;&gt;"",'UT1'!$AA$11&lt;&gt;""),'UT1'!$E$11,"")</f>
        <v/>
      </c>
      <c r="H83" s="148" t="str">
        <f>IF(OR(IFERROR('UT1'!$W$11&gt;=$B$3,FALSE),'UT1'!$AC$11="Forcée",'UT1'!$X$11&lt;&gt;"",'UT1'!$AA$11&lt;&gt;""),'UT1'!$H$11,"")</f>
        <v/>
      </c>
      <c r="I83" s="148" t="str">
        <f>IF(OR(IFERROR('UT1'!$W$11&gt;=$B$3,FALSE),'UT1'!$AC$11="Forcée",'UT1'!$X$11&lt;&gt;"",'UT1'!$AA$11&lt;&gt;""),'UT1'!$W$11,"")</f>
        <v/>
      </c>
      <c r="J83" s="148" t="str">
        <f t="shared" si="2"/>
        <v/>
      </c>
      <c r="K83" s="148" t="str">
        <f>IF(A83="","",IF('UT1'!$AC$11="Forcée","Forcée",IF('UT1'!$AC$11="Exclue","Exclue","Automatique")))</f>
        <v/>
      </c>
      <c r="L83" s="148" t="str">
        <f>IF(A83="","",IF('UT1'!$AC$11="Exclue","Exclu",IF('UT1'!$W$11&gt;=$B$3,"Actif - risque significatif",IF(AND('UT1'!$W$11&lt;$B$3,'UT1'!$AD$11="Oui"),"Maîtrisé / clôturable","Maîtrisé - à vérifier"))))</f>
        <v/>
      </c>
      <c r="M83" s="148" t="str">
        <f>IF(A83="","",IF('UT1'!$W$11&gt;=16,"P1 - Critique",IF('UT1'!$W$11&gt;=13,"P2 - Haute",IF('UT1'!$W$11&gt;=9,"P3 - Moyenne","P4 - Basse"))))</f>
        <v/>
      </c>
      <c r="N83" s="148"/>
      <c r="O83" s="148" t="str">
        <f>IF(A83="","",'UT1'!$X$11)</f>
        <v/>
      </c>
      <c r="P83" s="148"/>
      <c r="Q83" s="148"/>
      <c r="R83" s="148" t="str">
        <f>IF(A83="","",'UT1'!$Z$11)</f>
        <v/>
      </c>
      <c r="S83" s="148"/>
      <c r="T83" s="148"/>
      <c r="U83" s="149"/>
      <c r="V83" s="150"/>
      <c r="W83" s="150" t="str">
        <f>IF(A83="","",'UT1'!$Y$11)</f>
        <v/>
      </c>
      <c r="X83" s="148"/>
      <c r="Y83" s="148"/>
      <c r="Z83" s="148"/>
      <c r="AA83" s="148"/>
      <c r="AB83" s="148" t="str">
        <f>IF(A83="","",'UT1'!$AA$11)</f>
        <v/>
      </c>
      <c r="AC83" s="148" t="str">
        <f>IF(A83="","",'UT1'!$AD$11)</f>
        <v/>
      </c>
      <c r="AD83" s="150" t="str">
        <f>IF(A83="","",'UT1'!$AE$11)</f>
        <v/>
      </c>
      <c r="AE83" s="148"/>
      <c r="AF83" s="148"/>
      <c r="AG83" s="148" t="str">
        <f>IF(A83="","",'UT1'!$AF$11)</f>
        <v/>
      </c>
      <c r="AH83" s="151" t="str">
        <f t="shared" si="3"/>
        <v/>
      </c>
    </row>
    <row r="84" spans="1:34">
      <c r="A84" s="148" t="str">
        <f>IF(OR(IFERROR('UT1'!$W$12&gt;=$B$3,FALSE),'UT1'!$AC$12="Forcée",'UT1'!$X$12&lt;&gt;"",'UT1'!$AA$12&lt;&gt;""),"UT1-12","")</f>
        <v/>
      </c>
      <c r="B84" s="148" t="str">
        <f>IF(OR(IFERROR('UT1'!$W$12&gt;=$B$3,FALSE),'UT1'!$AC$12="Forcée",'UT1'!$X$12&lt;&gt;"",'UT1'!$AA$12&lt;&gt;""),"UT1","")</f>
        <v/>
      </c>
      <c r="C84" s="148" t="str">
        <f>IF(OR(IFERROR('UT1'!$W$12&gt;=$B$3,FALSE),'UT1'!$AC$12="Forcée",'UT1'!$X$12&lt;&gt;"",'UT1'!$AA$12&lt;&gt;""),'UT1'!$A$12,"")</f>
        <v/>
      </c>
      <c r="D84" s="148" t="str">
        <f>IF(OR(IFERROR('UT1'!$W$12&gt;=$B$3,FALSE),'UT1'!$AC$12="Forcée",'UT1'!$X$12&lt;&gt;"",'UT1'!$AA$12&lt;&gt;""),'UT1'!$B$12,"")</f>
        <v/>
      </c>
      <c r="E84" s="148" t="str">
        <f>IF(OR(IFERROR('UT1'!$W$12&gt;=$B$3,FALSE),'UT1'!$AC$12="Forcée",'UT1'!$X$12&lt;&gt;"",'UT1'!$AA$12&lt;&gt;""),'UT1'!$C$12,"")</f>
        <v/>
      </c>
      <c r="F84" s="148" t="str">
        <f>IF(OR(IFERROR('UT1'!$W$12&gt;=$B$3,FALSE),'UT1'!$AC$12="Forcée",'UT1'!$X$12&lt;&gt;"",'UT1'!$AA$12&lt;&gt;""),'UT1'!$D$12,"")</f>
        <v/>
      </c>
      <c r="G84" s="148" t="str">
        <f>IF(OR(IFERROR('UT1'!$W$12&gt;=$B$3,FALSE),'UT1'!$AC$12="Forcée",'UT1'!$X$12&lt;&gt;"",'UT1'!$AA$12&lt;&gt;""),'UT1'!$E$12,"")</f>
        <v/>
      </c>
      <c r="H84" s="148" t="str">
        <f>IF(OR(IFERROR('UT1'!$W$12&gt;=$B$3,FALSE),'UT1'!$AC$12="Forcée",'UT1'!$X$12&lt;&gt;"",'UT1'!$AA$12&lt;&gt;""),'UT1'!$H$12,"")</f>
        <v/>
      </c>
      <c r="I84" s="148" t="str">
        <f>IF(OR(IFERROR('UT1'!$W$12&gt;=$B$3,FALSE),'UT1'!$AC$12="Forcée",'UT1'!$X$12&lt;&gt;"",'UT1'!$AA$12&lt;&gt;""),'UT1'!$W$12,"")</f>
        <v/>
      </c>
      <c r="J84" s="148" t="str">
        <f t="shared" si="2"/>
        <v/>
      </c>
      <c r="K84" s="148" t="str">
        <f>IF(A84="","",IF('UT1'!$AC$12="Forcée","Forcée",IF('UT1'!$AC$12="Exclue","Exclue","Automatique")))</f>
        <v/>
      </c>
      <c r="L84" s="148" t="str">
        <f>IF(A84="","",IF('UT1'!$AC$12="Exclue","Exclu",IF('UT1'!$W$12&gt;=$B$3,"Actif - risque significatif",IF(AND('UT1'!$W$12&lt;$B$3,'UT1'!$AD$12="Oui"),"Maîtrisé / clôturable","Maîtrisé - à vérifier"))))</f>
        <v/>
      </c>
      <c r="M84" s="148" t="str">
        <f>IF(A84="","",IF('UT1'!$W$12&gt;=16,"P1 - Critique",IF('UT1'!$W$12&gt;=13,"P2 - Haute",IF('UT1'!$W$12&gt;=9,"P3 - Moyenne","P4 - Basse"))))</f>
        <v/>
      </c>
      <c r="N84" s="148"/>
      <c r="O84" s="148" t="str">
        <f>IF(A84="","",'UT1'!$X$12)</f>
        <v/>
      </c>
      <c r="P84" s="148"/>
      <c r="Q84" s="148"/>
      <c r="R84" s="148" t="str">
        <f>IF(A84="","",'UT1'!$Z$12)</f>
        <v/>
      </c>
      <c r="S84" s="148"/>
      <c r="T84" s="148"/>
      <c r="U84" s="149"/>
      <c r="V84" s="150"/>
      <c r="W84" s="150" t="str">
        <f>IF(A84="","",'UT1'!$Y$12)</f>
        <v/>
      </c>
      <c r="X84" s="148"/>
      <c r="Y84" s="148"/>
      <c r="Z84" s="148"/>
      <c r="AA84" s="148"/>
      <c r="AB84" s="148" t="str">
        <f>IF(A84="","",'UT1'!$AA$12)</f>
        <v/>
      </c>
      <c r="AC84" s="148" t="str">
        <f>IF(A84="","",'UT1'!$AD$12)</f>
        <v/>
      </c>
      <c r="AD84" s="150" t="str">
        <f>IF(A84="","",'UT1'!$AE$12)</f>
        <v/>
      </c>
      <c r="AE84" s="148"/>
      <c r="AF84" s="148"/>
      <c r="AG84" s="148" t="str">
        <f>IF(A84="","",'UT1'!$AF$12)</f>
        <v/>
      </c>
      <c r="AH84" s="151" t="str">
        <f t="shared" si="3"/>
        <v/>
      </c>
    </row>
    <row r="85" spans="1:34">
      <c r="A85" s="148" t="str">
        <f>IF(OR(IFERROR('UT1'!$W$13&gt;=$B$3,FALSE),'UT1'!$AC$13="Forcée",'UT1'!$X$13&lt;&gt;"",'UT1'!$AA$13&lt;&gt;""),"UT1-13","")</f>
        <v/>
      </c>
      <c r="B85" s="148" t="str">
        <f>IF(OR(IFERROR('UT1'!$W$13&gt;=$B$3,FALSE),'UT1'!$AC$13="Forcée",'UT1'!$X$13&lt;&gt;"",'UT1'!$AA$13&lt;&gt;""),"UT1","")</f>
        <v/>
      </c>
      <c r="C85" s="148" t="str">
        <f>IF(OR(IFERROR('UT1'!$W$13&gt;=$B$3,FALSE),'UT1'!$AC$13="Forcée",'UT1'!$X$13&lt;&gt;"",'UT1'!$AA$13&lt;&gt;""),'UT1'!$A$13,"")</f>
        <v/>
      </c>
      <c r="D85" s="148" t="str">
        <f>IF(OR(IFERROR('UT1'!$W$13&gt;=$B$3,FALSE),'UT1'!$AC$13="Forcée",'UT1'!$X$13&lt;&gt;"",'UT1'!$AA$13&lt;&gt;""),'UT1'!$B$13,"")</f>
        <v/>
      </c>
      <c r="E85" s="148" t="str">
        <f>IF(OR(IFERROR('UT1'!$W$13&gt;=$B$3,FALSE),'UT1'!$AC$13="Forcée",'UT1'!$X$13&lt;&gt;"",'UT1'!$AA$13&lt;&gt;""),'UT1'!$C$13,"")</f>
        <v/>
      </c>
      <c r="F85" s="148" t="str">
        <f>IF(OR(IFERROR('UT1'!$W$13&gt;=$B$3,FALSE),'UT1'!$AC$13="Forcée",'UT1'!$X$13&lt;&gt;"",'UT1'!$AA$13&lt;&gt;""),'UT1'!$D$13,"")</f>
        <v/>
      </c>
      <c r="G85" s="148" t="str">
        <f>IF(OR(IFERROR('UT1'!$W$13&gt;=$B$3,FALSE),'UT1'!$AC$13="Forcée",'UT1'!$X$13&lt;&gt;"",'UT1'!$AA$13&lt;&gt;""),'UT1'!$E$13,"")</f>
        <v/>
      </c>
      <c r="H85" s="148" t="str">
        <f>IF(OR(IFERROR('UT1'!$W$13&gt;=$B$3,FALSE),'UT1'!$AC$13="Forcée",'UT1'!$X$13&lt;&gt;"",'UT1'!$AA$13&lt;&gt;""),'UT1'!$H$13,"")</f>
        <v/>
      </c>
      <c r="I85" s="148" t="str">
        <f>IF(OR(IFERROR('UT1'!$W$13&gt;=$B$3,FALSE),'UT1'!$AC$13="Forcée",'UT1'!$X$13&lt;&gt;"",'UT1'!$AA$13&lt;&gt;""),'UT1'!$W$13,"")</f>
        <v/>
      </c>
      <c r="J85" s="148" t="str">
        <f t="shared" si="2"/>
        <v/>
      </c>
      <c r="K85" s="148" t="str">
        <f>IF(A85="","",IF('UT1'!$AC$13="Forcée","Forcée",IF('UT1'!$AC$13="Exclue","Exclue","Automatique")))</f>
        <v/>
      </c>
      <c r="L85" s="148" t="str">
        <f>IF(A85="","",IF('UT1'!$AC$13="Exclue","Exclu",IF('UT1'!$W$13&gt;=$B$3,"Actif - risque significatif",IF(AND('UT1'!$W$13&lt;$B$3,'UT1'!$AD$13="Oui"),"Maîtrisé / clôturable","Maîtrisé - à vérifier"))))</f>
        <v/>
      </c>
      <c r="M85" s="148" t="str">
        <f>IF(A85="","",IF('UT1'!$W$13&gt;=16,"P1 - Critique",IF('UT1'!$W$13&gt;=13,"P2 - Haute",IF('UT1'!$W$13&gt;=9,"P3 - Moyenne","P4 - Basse"))))</f>
        <v/>
      </c>
      <c r="N85" s="148"/>
      <c r="O85" s="148" t="str">
        <f>IF(A85="","",'UT1'!$X$13)</f>
        <v/>
      </c>
      <c r="P85" s="148"/>
      <c r="Q85" s="148"/>
      <c r="R85" s="148" t="str">
        <f>IF(A85="","",'UT1'!$Z$13)</f>
        <v/>
      </c>
      <c r="S85" s="148"/>
      <c r="T85" s="148"/>
      <c r="U85" s="149"/>
      <c r="V85" s="150"/>
      <c r="W85" s="150" t="str">
        <f>IF(A85="","",'UT1'!$Y$13)</f>
        <v/>
      </c>
      <c r="X85" s="148"/>
      <c r="Y85" s="148"/>
      <c r="Z85" s="148"/>
      <c r="AA85" s="148"/>
      <c r="AB85" s="148" t="str">
        <f>IF(A85="","",'UT1'!$AA$13)</f>
        <v/>
      </c>
      <c r="AC85" s="148" t="str">
        <f>IF(A85="","",'UT1'!$AD$13)</f>
        <v/>
      </c>
      <c r="AD85" s="150" t="str">
        <f>IF(A85="","",'UT1'!$AE$13)</f>
        <v/>
      </c>
      <c r="AE85" s="148"/>
      <c r="AF85" s="148"/>
      <c r="AG85" s="148" t="str">
        <f>IF(A85="","",'UT1'!$AF$13)</f>
        <v/>
      </c>
      <c r="AH85" s="151" t="str">
        <f t="shared" si="3"/>
        <v/>
      </c>
    </row>
    <row r="86" spans="1:34">
      <c r="A86" s="148" t="str">
        <f>IF(OR(IFERROR('UT1'!$W$14&gt;=$B$3,FALSE),'UT1'!$AC$14="Forcée",'UT1'!$X$14&lt;&gt;"",'UT1'!$AA$14&lt;&gt;""),"UT1-14","")</f>
        <v/>
      </c>
      <c r="B86" s="148" t="str">
        <f>IF(OR(IFERROR('UT1'!$W$14&gt;=$B$3,FALSE),'UT1'!$AC$14="Forcée",'UT1'!$X$14&lt;&gt;"",'UT1'!$AA$14&lt;&gt;""),"UT1","")</f>
        <v/>
      </c>
      <c r="C86" s="148" t="str">
        <f>IF(OR(IFERROR('UT1'!$W$14&gt;=$B$3,FALSE),'UT1'!$AC$14="Forcée",'UT1'!$X$14&lt;&gt;"",'UT1'!$AA$14&lt;&gt;""),'UT1'!$A$14,"")</f>
        <v/>
      </c>
      <c r="D86" s="148" t="str">
        <f>IF(OR(IFERROR('UT1'!$W$14&gt;=$B$3,FALSE),'UT1'!$AC$14="Forcée",'UT1'!$X$14&lt;&gt;"",'UT1'!$AA$14&lt;&gt;""),'UT1'!$B$14,"")</f>
        <v/>
      </c>
      <c r="E86" s="148" t="str">
        <f>IF(OR(IFERROR('UT1'!$W$14&gt;=$B$3,FALSE),'UT1'!$AC$14="Forcée",'UT1'!$X$14&lt;&gt;"",'UT1'!$AA$14&lt;&gt;""),'UT1'!$C$14,"")</f>
        <v/>
      </c>
      <c r="F86" s="148" t="str">
        <f>IF(OR(IFERROR('UT1'!$W$14&gt;=$B$3,FALSE),'UT1'!$AC$14="Forcée",'UT1'!$X$14&lt;&gt;"",'UT1'!$AA$14&lt;&gt;""),'UT1'!$D$14,"")</f>
        <v/>
      </c>
      <c r="G86" s="148" t="str">
        <f>IF(OR(IFERROR('UT1'!$W$14&gt;=$B$3,FALSE),'UT1'!$AC$14="Forcée",'UT1'!$X$14&lt;&gt;"",'UT1'!$AA$14&lt;&gt;""),'UT1'!$E$14,"")</f>
        <v/>
      </c>
      <c r="H86" s="148" t="str">
        <f>IF(OR(IFERROR('UT1'!$W$14&gt;=$B$3,FALSE),'UT1'!$AC$14="Forcée",'UT1'!$X$14&lt;&gt;"",'UT1'!$AA$14&lt;&gt;""),'UT1'!$H$14,"")</f>
        <v/>
      </c>
      <c r="I86" s="148" t="str">
        <f>IF(OR(IFERROR('UT1'!$W$14&gt;=$B$3,FALSE),'UT1'!$AC$14="Forcée",'UT1'!$X$14&lt;&gt;"",'UT1'!$AA$14&lt;&gt;""),'UT1'!$W$14,"")</f>
        <v/>
      </c>
      <c r="J86" s="148" t="str">
        <f t="shared" si="2"/>
        <v/>
      </c>
      <c r="K86" s="148" t="str">
        <f>IF(A86="","",IF('UT1'!$AC$14="Forcée","Forcée",IF('UT1'!$AC$14="Exclue","Exclue","Automatique")))</f>
        <v/>
      </c>
      <c r="L86" s="148" t="str">
        <f>IF(A86="","",IF('UT1'!$AC$14="Exclue","Exclu",IF('UT1'!$W$14&gt;=$B$3,"Actif - risque significatif",IF(AND('UT1'!$W$14&lt;$B$3,'UT1'!$AD$14="Oui"),"Maîtrisé / clôturable","Maîtrisé - à vérifier"))))</f>
        <v/>
      </c>
      <c r="M86" s="148" t="str">
        <f>IF(A86="","",IF('UT1'!$W$14&gt;=16,"P1 - Critique",IF('UT1'!$W$14&gt;=13,"P2 - Haute",IF('UT1'!$W$14&gt;=9,"P3 - Moyenne","P4 - Basse"))))</f>
        <v/>
      </c>
      <c r="N86" s="148"/>
      <c r="O86" s="148" t="str">
        <f>IF(A86="","",'UT1'!$X$14)</f>
        <v/>
      </c>
      <c r="P86" s="148"/>
      <c r="Q86" s="148"/>
      <c r="R86" s="148" t="str">
        <f>IF(A86="","",'UT1'!$Z$14)</f>
        <v/>
      </c>
      <c r="S86" s="148"/>
      <c r="T86" s="148"/>
      <c r="U86" s="149"/>
      <c r="V86" s="150"/>
      <c r="W86" s="150" t="str">
        <f>IF(A86="","",'UT1'!$Y$14)</f>
        <v/>
      </c>
      <c r="X86" s="148"/>
      <c r="Y86" s="148"/>
      <c r="Z86" s="148"/>
      <c r="AA86" s="148"/>
      <c r="AB86" s="148" t="str">
        <f>IF(A86="","",'UT1'!$AA$14)</f>
        <v/>
      </c>
      <c r="AC86" s="148" t="str">
        <f>IF(A86="","",'UT1'!$AD$14)</f>
        <v/>
      </c>
      <c r="AD86" s="150" t="str">
        <f>IF(A86="","",'UT1'!$AE$14)</f>
        <v/>
      </c>
      <c r="AE86" s="148"/>
      <c r="AF86" s="148"/>
      <c r="AG86" s="148" t="str">
        <f>IF(A86="","",'UT1'!$AF$14)</f>
        <v/>
      </c>
      <c r="AH86" s="151" t="str">
        <f t="shared" si="3"/>
        <v/>
      </c>
    </row>
    <row r="87" spans="1:34">
      <c r="A87" s="148" t="str">
        <f>IF(OR(IFERROR('UT1'!$W$15&gt;=$B$3,FALSE),'UT1'!$AC$15="Forcée",'UT1'!$X$15&lt;&gt;"",'UT1'!$AA$15&lt;&gt;""),"UT1-15","")</f>
        <v/>
      </c>
      <c r="B87" s="148" t="str">
        <f>IF(OR(IFERROR('UT1'!$W$15&gt;=$B$3,FALSE),'UT1'!$AC$15="Forcée",'UT1'!$X$15&lt;&gt;"",'UT1'!$AA$15&lt;&gt;""),"UT1","")</f>
        <v/>
      </c>
      <c r="C87" s="148" t="str">
        <f>IF(OR(IFERROR('UT1'!$W$15&gt;=$B$3,FALSE),'UT1'!$AC$15="Forcée",'UT1'!$X$15&lt;&gt;"",'UT1'!$AA$15&lt;&gt;""),'UT1'!$A$15,"")</f>
        <v/>
      </c>
      <c r="D87" s="148" t="str">
        <f>IF(OR(IFERROR('UT1'!$W$15&gt;=$B$3,FALSE),'UT1'!$AC$15="Forcée",'UT1'!$X$15&lt;&gt;"",'UT1'!$AA$15&lt;&gt;""),'UT1'!$B$15,"")</f>
        <v/>
      </c>
      <c r="E87" s="148" t="str">
        <f>IF(OR(IFERROR('UT1'!$W$15&gt;=$B$3,FALSE),'UT1'!$AC$15="Forcée",'UT1'!$X$15&lt;&gt;"",'UT1'!$AA$15&lt;&gt;""),'UT1'!$C$15,"")</f>
        <v/>
      </c>
      <c r="F87" s="148" t="str">
        <f>IF(OR(IFERROR('UT1'!$W$15&gt;=$B$3,FALSE),'UT1'!$AC$15="Forcée",'UT1'!$X$15&lt;&gt;"",'UT1'!$AA$15&lt;&gt;""),'UT1'!$D$15,"")</f>
        <v/>
      </c>
      <c r="G87" s="148" t="str">
        <f>IF(OR(IFERROR('UT1'!$W$15&gt;=$B$3,FALSE),'UT1'!$AC$15="Forcée",'UT1'!$X$15&lt;&gt;"",'UT1'!$AA$15&lt;&gt;""),'UT1'!$E$15,"")</f>
        <v/>
      </c>
      <c r="H87" s="148" t="str">
        <f>IF(OR(IFERROR('UT1'!$W$15&gt;=$B$3,FALSE),'UT1'!$AC$15="Forcée",'UT1'!$X$15&lt;&gt;"",'UT1'!$AA$15&lt;&gt;""),'UT1'!$H$15,"")</f>
        <v/>
      </c>
      <c r="I87" s="148" t="str">
        <f>IF(OR(IFERROR('UT1'!$W$15&gt;=$B$3,FALSE),'UT1'!$AC$15="Forcée",'UT1'!$X$15&lt;&gt;"",'UT1'!$AA$15&lt;&gt;""),'UT1'!$W$15,"")</f>
        <v/>
      </c>
      <c r="J87" s="148" t="str">
        <f t="shared" si="2"/>
        <v/>
      </c>
      <c r="K87" s="148" t="str">
        <f>IF(A87="","",IF('UT1'!$AC$15="Forcée","Forcée",IF('UT1'!$AC$15="Exclue","Exclue","Automatique")))</f>
        <v/>
      </c>
      <c r="L87" s="148" t="str">
        <f>IF(A87="","",IF('UT1'!$AC$15="Exclue","Exclu",IF('UT1'!$W$15&gt;=$B$3,"Actif - risque significatif",IF(AND('UT1'!$W$15&lt;$B$3,'UT1'!$AD$15="Oui"),"Maîtrisé / clôturable","Maîtrisé - à vérifier"))))</f>
        <v/>
      </c>
      <c r="M87" s="148" t="str">
        <f>IF(A87="","",IF('UT1'!$W$15&gt;=16,"P1 - Critique",IF('UT1'!$W$15&gt;=13,"P2 - Haute",IF('UT1'!$W$15&gt;=9,"P3 - Moyenne","P4 - Basse"))))</f>
        <v/>
      </c>
      <c r="N87" s="148"/>
      <c r="O87" s="148" t="str">
        <f>IF(A87="","",'UT1'!$X$15)</f>
        <v/>
      </c>
      <c r="P87" s="148"/>
      <c r="Q87" s="148"/>
      <c r="R87" s="148" t="str">
        <f>IF(A87="","",'UT1'!$Z$15)</f>
        <v/>
      </c>
      <c r="S87" s="148"/>
      <c r="T87" s="148"/>
      <c r="U87" s="149"/>
      <c r="V87" s="150"/>
      <c r="W87" s="150" t="str">
        <f>IF(A87="","",'UT1'!$Y$15)</f>
        <v/>
      </c>
      <c r="X87" s="148"/>
      <c r="Y87" s="148"/>
      <c r="Z87" s="148"/>
      <c r="AA87" s="148"/>
      <c r="AB87" s="148" t="str">
        <f>IF(A87="","",'UT1'!$AA$15)</f>
        <v/>
      </c>
      <c r="AC87" s="148" t="str">
        <f>IF(A87="","",'UT1'!$AD$15)</f>
        <v/>
      </c>
      <c r="AD87" s="150" t="str">
        <f>IF(A87="","",'UT1'!$AE$15)</f>
        <v/>
      </c>
      <c r="AE87" s="148"/>
      <c r="AF87" s="148"/>
      <c r="AG87" s="148" t="str">
        <f>IF(A87="","",'UT1'!$AF$15)</f>
        <v/>
      </c>
      <c r="AH87" s="151" t="str">
        <f t="shared" si="3"/>
        <v/>
      </c>
    </row>
    <row r="88" spans="1:34">
      <c r="A88" s="148" t="str">
        <f>IF(OR(IFERROR('UT1'!$W$16&gt;=$B$3,FALSE),'UT1'!$AC$16="Forcée",'UT1'!$X$16&lt;&gt;"",'UT1'!$AA$16&lt;&gt;""),"UT1-16","")</f>
        <v/>
      </c>
      <c r="B88" s="148" t="str">
        <f>IF(OR(IFERROR('UT1'!$W$16&gt;=$B$3,FALSE),'UT1'!$AC$16="Forcée",'UT1'!$X$16&lt;&gt;"",'UT1'!$AA$16&lt;&gt;""),"UT1","")</f>
        <v/>
      </c>
      <c r="C88" s="148" t="str">
        <f>IF(OR(IFERROR('UT1'!$W$16&gt;=$B$3,FALSE),'UT1'!$AC$16="Forcée",'UT1'!$X$16&lt;&gt;"",'UT1'!$AA$16&lt;&gt;""),'UT1'!$A$16,"")</f>
        <v/>
      </c>
      <c r="D88" s="148" t="str">
        <f>IF(OR(IFERROR('UT1'!$W$16&gt;=$B$3,FALSE),'UT1'!$AC$16="Forcée",'UT1'!$X$16&lt;&gt;"",'UT1'!$AA$16&lt;&gt;""),'UT1'!$B$16,"")</f>
        <v/>
      </c>
      <c r="E88" s="148" t="str">
        <f>IF(OR(IFERROR('UT1'!$W$16&gt;=$B$3,FALSE),'UT1'!$AC$16="Forcée",'UT1'!$X$16&lt;&gt;"",'UT1'!$AA$16&lt;&gt;""),'UT1'!$C$16,"")</f>
        <v/>
      </c>
      <c r="F88" s="148" t="str">
        <f>IF(OR(IFERROR('UT1'!$W$16&gt;=$B$3,FALSE),'UT1'!$AC$16="Forcée",'UT1'!$X$16&lt;&gt;"",'UT1'!$AA$16&lt;&gt;""),'UT1'!$D$16,"")</f>
        <v/>
      </c>
      <c r="G88" s="148" t="str">
        <f>IF(OR(IFERROR('UT1'!$W$16&gt;=$B$3,FALSE),'UT1'!$AC$16="Forcée",'UT1'!$X$16&lt;&gt;"",'UT1'!$AA$16&lt;&gt;""),'UT1'!$E$16,"")</f>
        <v/>
      </c>
      <c r="H88" s="148" t="str">
        <f>IF(OR(IFERROR('UT1'!$W$16&gt;=$B$3,FALSE),'UT1'!$AC$16="Forcée",'UT1'!$X$16&lt;&gt;"",'UT1'!$AA$16&lt;&gt;""),'UT1'!$H$16,"")</f>
        <v/>
      </c>
      <c r="I88" s="148" t="str">
        <f>IF(OR(IFERROR('UT1'!$W$16&gt;=$B$3,FALSE),'UT1'!$AC$16="Forcée",'UT1'!$X$16&lt;&gt;"",'UT1'!$AA$16&lt;&gt;""),'UT1'!$W$16,"")</f>
        <v/>
      </c>
      <c r="J88" s="148" t="str">
        <f t="shared" si="2"/>
        <v/>
      </c>
      <c r="K88" s="148" t="str">
        <f>IF(A88="","",IF('UT1'!$AC$16="Forcée","Forcée",IF('UT1'!$AC$16="Exclue","Exclue","Automatique")))</f>
        <v/>
      </c>
      <c r="L88" s="148" t="str">
        <f>IF(A88="","",IF('UT1'!$AC$16="Exclue","Exclu",IF('UT1'!$W$16&gt;=$B$3,"Actif - risque significatif",IF(AND('UT1'!$W$16&lt;$B$3,'UT1'!$AD$16="Oui"),"Maîtrisé / clôturable","Maîtrisé - à vérifier"))))</f>
        <v/>
      </c>
      <c r="M88" s="148" t="str">
        <f>IF(A88="","",IF('UT1'!$W$16&gt;=16,"P1 - Critique",IF('UT1'!$W$16&gt;=13,"P2 - Haute",IF('UT1'!$W$16&gt;=9,"P3 - Moyenne","P4 - Basse"))))</f>
        <v/>
      </c>
      <c r="N88" s="148"/>
      <c r="O88" s="148" t="str">
        <f>IF(A88="","",'UT1'!$X$16)</f>
        <v/>
      </c>
      <c r="P88" s="148"/>
      <c r="Q88" s="148"/>
      <c r="R88" s="148" t="str">
        <f>IF(A88="","",'UT1'!$Z$16)</f>
        <v/>
      </c>
      <c r="S88" s="148"/>
      <c r="T88" s="148"/>
      <c r="U88" s="149"/>
      <c r="V88" s="150"/>
      <c r="W88" s="150" t="str">
        <f>IF(A88="","",'UT1'!$Y$16)</f>
        <v/>
      </c>
      <c r="X88" s="148"/>
      <c r="Y88" s="148"/>
      <c r="Z88" s="148"/>
      <c r="AA88" s="148"/>
      <c r="AB88" s="148" t="str">
        <f>IF(A88="","",'UT1'!$AA$16)</f>
        <v/>
      </c>
      <c r="AC88" s="148" t="str">
        <f>IF(A88="","",'UT1'!$AD$16)</f>
        <v/>
      </c>
      <c r="AD88" s="150" t="str">
        <f>IF(A88="","",'UT1'!$AE$16)</f>
        <v/>
      </c>
      <c r="AE88" s="148"/>
      <c r="AF88" s="148"/>
      <c r="AG88" s="148" t="str">
        <f>IF(A88="","",'UT1'!$AF$16)</f>
        <v/>
      </c>
      <c r="AH88" s="151" t="str">
        <f t="shared" si="3"/>
        <v/>
      </c>
    </row>
    <row r="89" spans="1:34">
      <c r="A89" s="148" t="str">
        <f>IF(OR(IFERROR('UT1'!$W$17&gt;=$B$3,FALSE),'UT1'!$AC$17="Forcée",'UT1'!$X$17&lt;&gt;"",'UT1'!$AA$17&lt;&gt;""),"UT1-17","")</f>
        <v/>
      </c>
      <c r="B89" s="148" t="str">
        <f>IF(OR(IFERROR('UT1'!$W$17&gt;=$B$3,FALSE),'UT1'!$AC$17="Forcée",'UT1'!$X$17&lt;&gt;"",'UT1'!$AA$17&lt;&gt;""),"UT1","")</f>
        <v/>
      </c>
      <c r="C89" s="148" t="str">
        <f>IF(OR(IFERROR('UT1'!$W$17&gt;=$B$3,FALSE),'UT1'!$AC$17="Forcée",'UT1'!$X$17&lt;&gt;"",'UT1'!$AA$17&lt;&gt;""),'UT1'!$A$17,"")</f>
        <v/>
      </c>
      <c r="D89" s="148" t="str">
        <f>IF(OR(IFERROR('UT1'!$W$17&gt;=$B$3,FALSE),'UT1'!$AC$17="Forcée",'UT1'!$X$17&lt;&gt;"",'UT1'!$AA$17&lt;&gt;""),'UT1'!$B$17,"")</f>
        <v/>
      </c>
      <c r="E89" s="148" t="str">
        <f>IF(OR(IFERROR('UT1'!$W$17&gt;=$B$3,FALSE),'UT1'!$AC$17="Forcée",'UT1'!$X$17&lt;&gt;"",'UT1'!$AA$17&lt;&gt;""),'UT1'!$C$17,"")</f>
        <v/>
      </c>
      <c r="F89" s="148" t="str">
        <f>IF(OR(IFERROR('UT1'!$W$17&gt;=$B$3,FALSE),'UT1'!$AC$17="Forcée",'UT1'!$X$17&lt;&gt;"",'UT1'!$AA$17&lt;&gt;""),'UT1'!$D$17,"")</f>
        <v/>
      </c>
      <c r="G89" s="148" t="str">
        <f>IF(OR(IFERROR('UT1'!$W$17&gt;=$B$3,FALSE),'UT1'!$AC$17="Forcée",'UT1'!$X$17&lt;&gt;"",'UT1'!$AA$17&lt;&gt;""),'UT1'!$E$17,"")</f>
        <v/>
      </c>
      <c r="H89" s="148" t="str">
        <f>IF(OR(IFERROR('UT1'!$W$17&gt;=$B$3,FALSE),'UT1'!$AC$17="Forcée",'UT1'!$X$17&lt;&gt;"",'UT1'!$AA$17&lt;&gt;""),'UT1'!$H$17,"")</f>
        <v/>
      </c>
      <c r="I89" s="148" t="str">
        <f>IF(OR(IFERROR('UT1'!$W$17&gt;=$B$3,FALSE),'UT1'!$AC$17="Forcée",'UT1'!$X$17&lt;&gt;"",'UT1'!$AA$17&lt;&gt;""),'UT1'!$W$17,"")</f>
        <v/>
      </c>
      <c r="J89" s="148" t="str">
        <f t="shared" si="2"/>
        <v/>
      </c>
      <c r="K89" s="148" t="str">
        <f>IF(A89="","",IF('UT1'!$AC$17="Forcée","Forcée",IF('UT1'!$AC$17="Exclue","Exclue","Automatique")))</f>
        <v/>
      </c>
      <c r="L89" s="148" t="str">
        <f>IF(A89="","",IF('UT1'!$AC$17="Exclue","Exclu",IF('UT1'!$W$17&gt;=$B$3,"Actif - risque significatif",IF(AND('UT1'!$W$17&lt;$B$3,'UT1'!$AD$17="Oui"),"Maîtrisé / clôturable","Maîtrisé - à vérifier"))))</f>
        <v/>
      </c>
      <c r="M89" s="148" t="str">
        <f>IF(A89="","",IF('UT1'!$W$17&gt;=16,"P1 - Critique",IF('UT1'!$W$17&gt;=13,"P2 - Haute",IF('UT1'!$W$17&gt;=9,"P3 - Moyenne","P4 - Basse"))))</f>
        <v/>
      </c>
      <c r="N89" s="148"/>
      <c r="O89" s="148" t="str">
        <f>IF(A89="","",'UT1'!$X$17)</f>
        <v/>
      </c>
      <c r="P89" s="148"/>
      <c r="Q89" s="148"/>
      <c r="R89" s="148" t="str">
        <f>IF(A89="","",'UT1'!$Z$17)</f>
        <v/>
      </c>
      <c r="S89" s="148"/>
      <c r="T89" s="148"/>
      <c r="U89" s="149"/>
      <c r="V89" s="150"/>
      <c r="W89" s="150" t="str">
        <f>IF(A89="","",'UT1'!$Y$17)</f>
        <v/>
      </c>
      <c r="X89" s="148"/>
      <c r="Y89" s="148"/>
      <c r="Z89" s="148"/>
      <c r="AA89" s="148"/>
      <c r="AB89" s="148" t="str">
        <f>IF(A89="","",'UT1'!$AA$17)</f>
        <v/>
      </c>
      <c r="AC89" s="148" t="str">
        <f>IF(A89="","",'UT1'!$AD$17)</f>
        <v/>
      </c>
      <c r="AD89" s="150" t="str">
        <f>IF(A89="","",'UT1'!$AE$17)</f>
        <v/>
      </c>
      <c r="AE89" s="148"/>
      <c r="AF89" s="148"/>
      <c r="AG89" s="148" t="str">
        <f>IF(A89="","",'UT1'!$AF$17)</f>
        <v/>
      </c>
      <c r="AH89" s="151" t="str">
        <f t="shared" si="3"/>
        <v/>
      </c>
    </row>
    <row r="90" spans="1:34">
      <c r="A90" s="148" t="str">
        <f>IF(OR(IFERROR('UT1'!$W$18&gt;=$B$3,FALSE),'UT1'!$AC$18="Forcée",'UT1'!$X$18&lt;&gt;"",'UT1'!$AA$18&lt;&gt;""),"UT1-18","")</f>
        <v/>
      </c>
      <c r="B90" s="148" t="str">
        <f>IF(OR(IFERROR('UT1'!$W$18&gt;=$B$3,FALSE),'UT1'!$AC$18="Forcée",'UT1'!$X$18&lt;&gt;"",'UT1'!$AA$18&lt;&gt;""),"UT1","")</f>
        <v/>
      </c>
      <c r="C90" s="148" t="str">
        <f>IF(OR(IFERROR('UT1'!$W$18&gt;=$B$3,FALSE),'UT1'!$AC$18="Forcée",'UT1'!$X$18&lt;&gt;"",'UT1'!$AA$18&lt;&gt;""),'UT1'!$A$18,"")</f>
        <v/>
      </c>
      <c r="D90" s="148" t="str">
        <f>IF(OR(IFERROR('UT1'!$W$18&gt;=$B$3,FALSE),'UT1'!$AC$18="Forcée",'UT1'!$X$18&lt;&gt;"",'UT1'!$AA$18&lt;&gt;""),'UT1'!$B$18,"")</f>
        <v/>
      </c>
      <c r="E90" s="148" t="str">
        <f>IF(OR(IFERROR('UT1'!$W$18&gt;=$B$3,FALSE),'UT1'!$AC$18="Forcée",'UT1'!$X$18&lt;&gt;"",'UT1'!$AA$18&lt;&gt;""),'UT1'!$C$18,"")</f>
        <v/>
      </c>
      <c r="F90" s="148" t="str">
        <f>IF(OR(IFERROR('UT1'!$W$18&gt;=$B$3,FALSE),'UT1'!$AC$18="Forcée",'UT1'!$X$18&lt;&gt;"",'UT1'!$AA$18&lt;&gt;""),'UT1'!$D$18,"")</f>
        <v/>
      </c>
      <c r="G90" s="148" t="str">
        <f>IF(OR(IFERROR('UT1'!$W$18&gt;=$B$3,FALSE),'UT1'!$AC$18="Forcée",'UT1'!$X$18&lt;&gt;"",'UT1'!$AA$18&lt;&gt;""),'UT1'!$E$18,"")</f>
        <v/>
      </c>
      <c r="H90" s="148" t="str">
        <f>IF(OR(IFERROR('UT1'!$W$18&gt;=$B$3,FALSE),'UT1'!$AC$18="Forcée",'UT1'!$X$18&lt;&gt;"",'UT1'!$AA$18&lt;&gt;""),'UT1'!$H$18,"")</f>
        <v/>
      </c>
      <c r="I90" s="148" t="str">
        <f>IF(OR(IFERROR('UT1'!$W$18&gt;=$B$3,FALSE),'UT1'!$AC$18="Forcée",'UT1'!$X$18&lt;&gt;"",'UT1'!$AA$18&lt;&gt;""),'UT1'!$W$18,"")</f>
        <v/>
      </c>
      <c r="J90" s="148" t="str">
        <f t="shared" si="2"/>
        <v/>
      </c>
      <c r="K90" s="148" t="str">
        <f>IF(A90="","",IF('UT1'!$AC$18="Forcée","Forcée",IF('UT1'!$AC$18="Exclue","Exclue","Automatique")))</f>
        <v/>
      </c>
      <c r="L90" s="148" t="str">
        <f>IF(A90="","",IF('UT1'!$AC$18="Exclue","Exclu",IF('UT1'!$W$18&gt;=$B$3,"Actif - risque significatif",IF(AND('UT1'!$W$18&lt;$B$3,'UT1'!$AD$18="Oui"),"Maîtrisé / clôturable","Maîtrisé - à vérifier"))))</f>
        <v/>
      </c>
      <c r="M90" s="148" t="str">
        <f>IF(A90="","",IF('UT1'!$W$18&gt;=16,"P1 - Critique",IF('UT1'!$W$18&gt;=13,"P2 - Haute",IF('UT1'!$W$18&gt;=9,"P3 - Moyenne","P4 - Basse"))))</f>
        <v/>
      </c>
      <c r="N90" s="148"/>
      <c r="O90" s="148" t="str">
        <f>IF(A90="","",'UT1'!$X$18)</f>
        <v/>
      </c>
      <c r="P90" s="148"/>
      <c r="Q90" s="148"/>
      <c r="R90" s="148" t="str">
        <f>IF(A90="","",'UT1'!$Z$18)</f>
        <v/>
      </c>
      <c r="S90" s="148"/>
      <c r="T90" s="148"/>
      <c r="U90" s="149"/>
      <c r="V90" s="150"/>
      <c r="W90" s="150" t="str">
        <f>IF(A90="","",'UT1'!$Y$18)</f>
        <v/>
      </c>
      <c r="X90" s="148"/>
      <c r="Y90" s="148"/>
      <c r="Z90" s="148"/>
      <c r="AA90" s="148"/>
      <c r="AB90" s="148" t="str">
        <f>IF(A90="","",'UT1'!$AA$18)</f>
        <v/>
      </c>
      <c r="AC90" s="148" t="str">
        <f>IF(A90="","",'UT1'!$AD$18)</f>
        <v/>
      </c>
      <c r="AD90" s="150" t="str">
        <f>IF(A90="","",'UT1'!$AE$18)</f>
        <v/>
      </c>
      <c r="AE90" s="148"/>
      <c r="AF90" s="148"/>
      <c r="AG90" s="148" t="str">
        <f>IF(A90="","",'UT1'!$AF$18)</f>
        <v/>
      </c>
      <c r="AH90" s="151" t="str">
        <f t="shared" si="3"/>
        <v/>
      </c>
    </row>
    <row r="91" spans="1:34">
      <c r="A91" s="148" t="str">
        <f>IF(OR(IFERROR('UT1'!$W$19&gt;=$B$3,FALSE),'UT1'!$AC$19="Forcée",'UT1'!$X$19&lt;&gt;"",'UT1'!$AA$19&lt;&gt;""),"UT1-19","")</f>
        <v/>
      </c>
      <c r="B91" s="148" t="str">
        <f>IF(OR(IFERROR('UT1'!$W$19&gt;=$B$3,FALSE),'UT1'!$AC$19="Forcée",'UT1'!$X$19&lt;&gt;"",'UT1'!$AA$19&lt;&gt;""),"UT1","")</f>
        <v/>
      </c>
      <c r="C91" s="148" t="str">
        <f>IF(OR(IFERROR('UT1'!$W$19&gt;=$B$3,FALSE),'UT1'!$AC$19="Forcée",'UT1'!$X$19&lt;&gt;"",'UT1'!$AA$19&lt;&gt;""),'UT1'!$A$19,"")</f>
        <v/>
      </c>
      <c r="D91" s="148" t="str">
        <f>IF(OR(IFERROR('UT1'!$W$19&gt;=$B$3,FALSE),'UT1'!$AC$19="Forcée",'UT1'!$X$19&lt;&gt;"",'UT1'!$AA$19&lt;&gt;""),'UT1'!$B$19,"")</f>
        <v/>
      </c>
      <c r="E91" s="148" t="str">
        <f>IF(OR(IFERROR('UT1'!$W$19&gt;=$B$3,FALSE),'UT1'!$AC$19="Forcée",'UT1'!$X$19&lt;&gt;"",'UT1'!$AA$19&lt;&gt;""),'UT1'!$C$19,"")</f>
        <v/>
      </c>
      <c r="F91" s="148" t="str">
        <f>IF(OR(IFERROR('UT1'!$W$19&gt;=$B$3,FALSE),'UT1'!$AC$19="Forcée",'UT1'!$X$19&lt;&gt;"",'UT1'!$AA$19&lt;&gt;""),'UT1'!$D$19,"")</f>
        <v/>
      </c>
      <c r="G91" s="148" t="str">
        <f>IF(OR(IFERROR('UT1'!$W$19&gt;=$B$3,FALSE),'UT1'!$AC$19="Forcée",'UT1'!$X$19&lt;&gt;"",'UT1'!$AA$19&lt;&gt;""),'UT1'!$E$19,"")</f>
        <v/>
      </c>
      <c r="H91" s="148" t="str">
        <f>IF(OR(IFERROR('UT1'!$W$19&gt;=$B$3,FALSE),'UT1'!$AC$19="Forcée",'UT1'!$X$19&lt;&gt;"",'UT1'!$AA$19&lt;&gt;""),'UT1'!$H$19,"")</f>
        <v/>
      </c>
      <c r="I91" s="148" t="str">
        <f>IF(OR(IFERROR('UT1'!$W$19&gt;=$B$3,FALSE),'UT1'!$AC$19="Forcée",'UT1'!$X$19&lt;&gt;"",'UT1'!$AA$19&lt;&gt;""),'UT1'!$W$19,"")</f>
        <v/>
      </c>
      <c r="J91" s="148" t="str">
        <f t="shared" si="2"/>
        <v/>
      </c>
      <c r="K91" s="148" t="str">
        <f>IF(A91="","",IF('UT1'!$AC$19="Forcée","Forcée",IF('UT1'!$AC$19="Exclue","Exclue","Automatique")))</f>
        <v/>
      </c>
      <c r="L91" s="148" t="str">
        <f>IF(A91="","",IF('UT1'!$AC$19="Exclue","Exclu",IF('UT1'!$W$19&gt;=$B$3,"Actif - risque significatif",IF(AND('UT1'!$W$19&lt;$B$3,'UT1'!$AD$19="Oui"),"Maîtrisé / clôturable","Maîtrisé - à vérifier"))))</f>
        <v/>
      </c>
      <c r="M91" s="148" t="str">
        <f>IF(A91="","",IF('UT1'!$W$19&gt;=16,"P1 - Critique",IF('UT1'!$W$19&gt;=13,"P2 - Haute",IF('UT1'!$W$19&gt;=9,"P3 - Moyenne","P4 - Basse"))))</f>
        <v/>
      </c>
      <c r="N91" s="148"/>
      <c r="O91" s="148" t="str">
        <f>IF(A91="","",'UT1'!$X$19)</f>
        <v/>
      </c>
      <c r="P91" s="148"/>
      <c r="Q91" s="148"/>
      <c r="R91" s="148" t="str">
        <f>IF(A91="","",'UT1'!$Z$19)</f>
        <v/>
      </c>
      <c r="S91" s="148"/>
      <c r="T91" s="148"/>
      <c r="U91" s="149"/>
      <c r="V91" s="150"/>
      <c r="W91" s="150" t="str">
        <f>IF(A91="","",'UT1'!$Y$19)</f>
        <v/>
      </c>
      <c r="X91" s="148"/>
      <c r="Y91" s="148"/>
      <c r="Z91" s="148"/>
      <c r="AA91" s="148"/>
      <c r="AB91" s="148" t="str">
        <f>IF(A91="","",'UT1'!$AA$19)</f>
        <v/>
      </c>
      <c r="AC91" s="148" t="str">
        <f>IF(A91="","",'UT1'!$AD$19)</f>
        <v/>
      </c>
      <c r="AD91" s="150" t="str">
        <f>IF(A91="","",'UT1'!$AE$19)</f>
        <v/>
      </c>
      <c r="AE91" s="148"/>
      <c r="AF91" s="148"/>
      <c r="AG91" s="148" t="str">
        <f>IF(A91="","",'UT1'!$AF$19)</f>
        <v/>
      </c>
      <c r="AH91" s="151" t="str">
        <f t="shared" si="3"/>
        <v/>
      </c>
    </row>
    <row r="92" spans="1:34">
      <c r="A92" s="148" t="str">
        <f>IF(OR(IFERROR('UT1'!$W$20&gt;=$B$3,FALSE),'UT1'!$AC$20="Forcée",'UT1'!$X$20&lt;&gt;"",'UT1'!$AA$20&lt;&gt;""),"UT1-20","")</f>
        <v/>
      </c>
      <c r="B92" s="148" t="str">
        <f>IF(OR(IFERROR('UT1'!$W$20&gt;=$B$3,FALSE),'UT1'!$AC$20="Forcée",'UT1'!$X$20&lt;&gt;"",'UT1'!$AA$20&lt;&gt;""),"UT1","")</f>
        <v/>
      </c>
      <c r="C92" s="148" t="str">
        <f>IF(OR(IFERROR('UT1'!$W$20&gt;=$B$3,FALSE),'UT1'!$AC$20="Forcée",'UT1'!$X$20&lt;&gt;"",'UT1'!$AA$20&lt;&gt;""),'UT1'!$A$20,"")</f>
        <v/>
      </c>
      <c r="D92" s="148" t="str">
        <f>IF(OR(IFERROR('UT1'!$W$20&gt;=$B$3,FALSE),'UT1'!$AC$20="Forcée",'UT1'!$X$20&lt;&gt;"",'UT1'!$AA$20&lt;&gt;""),'UT1'!$B$20,"")</f>
        <v/>
      </c>
      <c r="E92" s="148" t="str">
        <f>IF(OR(IFERROR('UT1'!$W$20&gt;=$B$3,FALSE),'UT1'!$AC$20="Forcée",'UT1'!$X$20&lt;&gt;"",'UT1'!$AA$20&lt;&gt;""),'UT1'!$C$20,"")</f>
        <v/>
      </c>
      <c r="F92" s="148" t="str">
        <f>IF(OR(IFERROR('UT1'!$W$20&gt;=$B$3,FALSE),'UT1'!$AC$20="Forcée",'UT1'!$X$20&lt;&gt;"",'UT1'!$AA$20&lt;&gt;""),'UT1'!$D$20,"")</f>
        <v/>
      </c>
      <c r="G92" s="148" t="str">
        <f>IF(OR(IFERROR('UT1'!$W$20&gt;=$B$3,FALSE),'UT1'!$AC$20="Forcée",'UT1'!$X$20&lt;&gt;"",'UT1'!$AA$20&lt;&gt;""),'UT1'!$E$20,"")</f>
        <v/>
      </c>
      <c r="H92" s="148" t="str">
        <f>IF(OR(IFERROR('UT1'!$W$20&gt;=$B$3,FALSE),'UT1'!$AC$20="Forcée",'UT1'!$X$20&lt;&gt;"",'UT1'!$AA$20&lt;&gt;""),'UT1'!$H$20,"")</f>
        <v/>
      </c>
      <c r="I92" s="148" t="str">
        <f>IF(OR(IFERROR('UT1'!$W$20&gt;=$B$3,FALSE),'UT1'!$AC$20="Forcée",'UT1'!$X$20&lt;&gt;"",'UT1'!$AA$20&lt;&gt;""),'UT1'!$W$20,"")</f>
        <v/>
      </c>
      <c r="J92" s="148" t="str">
        <f t="shared" si="2"/>
        <v/>
      </c>
      <c r="K92" s="148" t="str">
        <f>IF(A92="","",IF('UT1'!$AC$20="Forcée","Forcée",IF('UT1'!$AC$20="Exclue","Exclue","Automatique")))</f>
        <v/>
      </c>
      <c r="L92" s="148" t="str">
        <f>IF(A92="","",IF('UT1'!$AC$20="Exclue","Exclu",IF('UT1'!$W$20&gt;=$B$3,"Actif - risque significatif",IF(AND('UT1'!$W$20&lt;$B$3,'UT1'!$AD$20="Oui"),"Maîtrisé / clôturable","Maîtrisé - à vérifier"))))</f>
        <v/>
      </c>
      <c r="M92" s="148" t="str">
        <f>IF(A92="","",IF('UT1'!$W$20&gt;=16,"P1 - Critique",IF('UT1'!$W$20&gt;=13,"P2 - Haute",IF('UT1'!$W$20&gt;=9,"P3 - Moyenne","P4 - Basse"))))</f>
        <v/>
      </c>
      <c r="N92" s="148"/>
      <c r="O92" s="148" t="str">
        <f>IF(A92="","",'UT1'!$X$20)</f>
        <v/>
      </c>
      <c r="P92" s="148"/>
      <c r="Q92" s="148"/>
      <c r="R92" s="148" t="str">
        <f>IF(A92="","",'UT1'!$Z$20)</f>
        <v/>
      </c>
      <c r="S92" s="148"/>
      <c r="T92" s="148"/>
      <c r="U92" s="149"/>
      <c r="V92" s="150"/>
      <c r="W92" s="150" t="str">
        <f>IF(A92="","",'UT1'!$Y$20)</f>
        <v/>
      </c>
      <c r="X92" s="148"/>
      <c r="Y92" s="148"/>
      <c r="Z92" s="148"/>
      <c r="AA92" s="148"/>
      <c r="AB92" s="148" t="str">
        <f>IF(A92="","",'UT1'!$AA$20)</f>
        <v/>
      </c>
      <c r="AC92" s="148" t="str">
        <f>IF(A92="","",'UT1'!$AD$20)</f>
        <v/>
      </c>
      <c r="AD92" s="150" t="str">
        <f>IF(A92="","",'UT1'!$AE$20)</f>
        <v/>
      </c>
      <c r="AE92" s="148"/>
      <c r="AF92" s="148"/>
      <c r="AG92" s="148" t="str">
        <f>IF(A92="","",'UT1'!$AF$20)</f>
        <v/>
      </c>
      <c r="AH92" s="151" t="str">
        <f t="shared" si="3"/>
        <v/>
      </c>
    </row>
    <row r="93" spans="1:34">
      <c r="A93" s="148" t="str">
        <f>IF(OR(IFERROR('UT1'!$W$21&gt;=$B$3,FALSE),'UT1'!$AC$21="Forcée",'UT1'!$X$21&lt;&gt;"",'UT1'!$AA$21&lt;&gt;""),"UT1-21","")</f>
        <v/>
      </c>
      <c r="B93" s="148" t="str">
        <f>IF(OR(IFERROR('UT1'!$W$21&gt;=$B$3,FALSE),'UT1'!$AC$21="Forcée",'UT1'!$X$21&lt;&gt;"",'UT1'!$AA$21&lt;&gt;""),"UT1","")</f>
        <v/>
      </c>
      <c r="C93" s="148" t="str">
        <f>IF(OR(IFERROR('UT1'!$W$21&gt;=$B$3,FALSE),'UT1'!$AC$21="Forcée",'UT1'!$X$21&lt;&gt;"",'UT1'!$AA$21&lt;&gt;""),'UT1'!$A$21,"")</f>
        <v/>
      </c>
      <c r="D93" s="148" t="str">
        <f>IF(OR(IFERROR('UT1'!$W$21&gt;=$B$3,FALSE),'UT1'!$AC$21="Forcée",'UT1'!$X$21&lt;&gt;"",'UT1'!$AA$21&lt;&gt;""),'UT1'!$B$21,"")</f>
        <v/>
      </c>
      <c r="E93" s="148" t="str">
        <f>IF(OR(IFERROR('UT1'!$W$21&gt;=$B$3,FALSE),'UT1'!$AC$21="Forcée",'UT1'!$X$21&lt;&gt;"",'UT1'!$AA$21&lt;&gt;""),'UT1'!$C$21,"")</f>
        <v/>
      </c>
      <c r="F93" s="148" t="str">
        <f>IF(OR(IFERROR('UT1'!$W$21&gt;=$B$3,FALSE),'UT1'!$AC$21="Forcée",'UT1'!$X$21&lt;&gt;"",'UT1'!$AA$21&lt;&gt;""),'UT1'!$D$21,"")</f>
        <v/>
      </c>
      <c r="G93" s="148" t="str">
        <f>IF(OR(IFERROR('UT1'!$W$21&gt;=$B$3,FALSE),'UT1'!$AC$21="Forcée",'UT1'!$X$21&lt;&gt;"",'UT1'!$AA$21&lt;&gt;""),'UT1'!$E$21,"")</f>
        <v/>
      </c>
      <c r="H93" s="148" t="str">
        <f>IF(OR(IFERROR('UT1'!$W$21&gt;=$B$3,FALSE),'UT1'!$AC$21="Forcée",'UT1'!$X$21&lt;&gt;"",'UT1'!$AA$21&lt;&gt;""),'UT1'!$H$21,"")</f>
        <v/>
      </c>
      <c r="I93" s="148" t="str">
        <f>IF(OR(IFERROR('UT1'!$W$21&gt;=$B$3,FALSE),'UT1'!$AC$21="Forcée",'UT1'!$X$21&lt;&gt;"",'UT1'!$AA$21&lt;&gt;""),'UT1'!$W$21,"")</f>
        <v/>
      </c>
      <c r="J93" s="148" t="str">
        <f t="shared" si="2"/>
        <v/>
      </c>
      <c r="K93" s="148" t="str">
        <f>IF(A93="","",IF('UT1'!$AC$21="Forcée","Forcée",IF('UT1'!$AC$21="Exclue","Exclue","Automatique")))</f>
        <v/>
      </c>
      <c r="L93" s="148" t="str">
        <f>IF(A93="","",IF('UT1'!$AC$21="Exclue","Exclu",IF('UT1'!$W$21&gt;=$B$3,"Actif - risque significatif",IF(AND('UT1'!$W$21&lt;$B$3,'UT1'!$AD$21="Oui"),"Maîtrisé / clôturable","Maîtrisé - à vérifier"))))</f>
        <v/>
      </c>
      <c r="M93" s="148" t="str">
        <f>IF(A93="","",IF('UT1'!$W$21&gt;=16,"P1 - Critique",IF('UT1'!$W$21&gt;=13,"P2 - Haute",IF('UT1'!$W$21&gt;=9,"P3 - Moyenne","P4 - Basse"))))</f>
        <v/>
      </c>
      <c r="N93" s="148"/>
      <c r="O93" s="148" t="str">
        <f>IF(A93="","",'UT1'!$X$21)</f>
        <v/>
      </c>
      <c r="P93" s="148"/>
      <c r="Q93" s="148"/>
      <c r="R93" s="148" t="str">
        <f>IF(A93="","",'UT1'!$Z$21)</f>
        <v/>
      </c>
      <c r="S93" s="148"/>
      <c r="T93" s="148"/>
      <c r="U93" s="149"/>
      <c r="V93" s="150"/>
      <c r="W93" s="150" t="str">
        <f>IF(A93="","",'UT1'!$Y$21)</f>
        <v/>
      </c>
      <c r="X93" s="148"/>
      <c r="Y93" s="148"/>
      <c r="Z93" s="148"/>
      <c r="AA93" s="148"/>
      <c r="AB93" s="148" t="str">
        <f>IF(A93="","",'UT1'!$AA$21)</f>
        <v/>
      </c>
      <c r="AC93" s="148" t="str">
        <f>IF(A93="","",'UT1'!$AD$21)</f>
        <v/>
      </c>
      <c r="AD93" s="150" t="str">
        <f>IF(A93="","",'UT1'!$AE$21)</f>
        <v/>
      </c>
      <c r="AE93" s="148"/>
      <c r="AF93" s="148"/>
      <c r="AG93" s="148" t="str">
        <f>IF(A93="","",'UT1'!$AF$21)</f>
        <v/>
      </c>
      <c r="AH93" s="151" t="str">
        <f t="shared" si="3"/>
        <v/>
      </c>
    </row>
    <row r="94" spans="1:34">
      <c r="A94" s="148" t="str">
        <f>IF(OR(IFERROR('UT1'!$W$22&gt;=$B$3,FALSE),'UT1'!$AC$22="Forcée",'UT1'!$X$22&lt;&gt;"",'UT1'!$AA$22&lt;&gt;""),"UT1-22","")</f>
        <v/>
      </c>
      <c r="B94" s="148" t="str">
        <f>IF(OR(IFERROR('UT1'!$W$22&gt;=$B$3,FALSE),'UT1'!$AC$22="Forcée",'UT1'!$X$22&lt;&gt;"",'UT1'!$AA$22&lt;&gt;""),"UT1","")</f>
        <v/>
      </c>
      <c r="C94" s="148" t="str">
        <f>IF(OR(IFERROR('UT1'!$W$22&gt;=$B$3,FALSE),'UT1'!$AC$22="Forcée",'UT1'!$X$22&lt;&gt;"",'UT1'!$AA$22&lt;&gt;""),'UT1'!$A$22,"")</f>
        <v/>
      </c>
      <c r="D94" s="148" t="str">
        <f>IF(OR(IFERROR('UT1'!$W$22&gt;=$B$3,FALSE),'UT1'!$AC$22="Forcée",'UT1'!$X$22&lt;&gt;"",'UT1'!$AA$22&lt;&gt;""),'UT1'!$B$22,"")</f>
        <v/>
      </c>
      <c r="E94" s="148" t="str">
        <f>IF(OR(IFERROR('UT1'!$W$22&gt;=$B$3,FALSE),'UT1'!$AC$22="Forcée",'UT1'!$X$22&lt;&gt;"",'UT1'!$AA$22&lt;&gt;""),'UT1'!$C$22,"")</f>
        <v/>
      </c>
      <c r="F94" s="148" t="str">
        <f>IF(OR(IFERROR('UT1'!$W$22&gt;=$B$3,FALSE),'UT1'!$AC$22="Forcée",'UT1'!$X$22&lt;&gt;"",'UT1'!$AA$22&lt;&gt;""),'UT1'!$D$22,"")</f>
        <v/>
      </c>
      <c r="G94" s="148" t="str">
        <f>IF(OR(IFERROR('UT1'!$W$22&gt;=$B$3,FALSE),'UT1'!$AC$22="Forcée",'UT1'!$X$22&lt;&gt;"",'UT1'!$AA$22&lt;&gt;""),'UT1'!$E$22,"")</f>
        <v/>
      </c>
      <c r="H94" s="148" t="str">
        <f>IF(OR(IFERROR('UT1'!$W$22&gt;=$B$3,FALSE),'UT1'!$AC$22="Forcée",'UT1'!$X$22&lt;&gt;"",'UT1'!$AA$22&lt;&gt;""),'UT1'!$H$22,"")</f>
        <v/>
      </c>
      <c r="I94" s="148" t="str">
        <f>IF(OR(IFERROR('UT1'!$W$22&gt;=$B$3,FALSE),'UT1'!$AC$22="Forcée",'UT1'!$X$22&lt;&gt;"",'UT1'!$AA$22&lt;&gt;""),'UT1'!$W$22,"")</f>
        <v/>
      </c>
      <c r="J94" s="148" t="str">
        <f t="shared" si="2"/>
        <v/>
      </c>
      <c r="K94" s="148" t="str">
        <f>IF(A94="","",IF('UT1'!$AC$22="Forcée","Forcée",IF('UT1'!$AC$22="Exclue","Exclue","Automatique")))</f>
        <v/>
      </c>
      <c r="L94" s="148" t="str">
        <f>IF(A94="","",IF('UT1'!$AC$22="Exclue","Exclu",IF('UT1'!$W$22&gt;=$B$3,"Actif - risque significatif",IF(AND('UT1'!$W$22&lt;$B$3,'UT1'!$AD$22="Oui"),"Maîtrisé / clôturable","Maîtrisé - à vérifier"))))</f>
        <v/>
      </c>
      <c r="M94" s="148" t="str">
        <f>IF(A94="","",IF('UT1'!$W$22&gt;=16,"P1 - Critique",IF('UT1'!$W$22&gt;=13,"P2 - Haute",IF('UT1'!$W$22&gt;=9,"P3 - Moyenne","P4 - Basse"))))</f>
        <v/>
      </c>
      <c r="N94" s="148"/>
      <c r="O94" s="148" t="str">
        <f>IF(A94="","",'UT1'!$X$22)</f>
        <v/>
      </c>
      <c r="P94" s="148"/>
      <c r="Q94" s="148"/>
      <c r="R94" s="148" t="str">
        <f>IF(A94="","",'UT1'!$Z$22)</f>
        <v/>
      </c>
      <c r="S94" s="148"/>
      <c r="T94" s="148"/>
      <c r="U94" s="149"/>
      <c r="V94" s="150"/>
      <c r="W94" s="150" t="str">
        <f>IF(A94="","",'UT1'!$Y$22)</f>
        <v/>
      </c>
      <c r="X94" s="148"/>
      <c r="Y94" s="148"/>
      <c r="Z94" s="148"/>
      <c r="AA94" s="148"/>
      <c r="AB94" s="148" t="str">
        <f>IF(A94="","",'UT1'!$AA$22)</f>
        <v/>
      </c>
      <c r="AC94" s="148" t="str">
        <f>IF(A94="","",'UT1'!$AD$22)</f>
        <v/>
      </c>
      <c r="AD94" s="150" t="str">
        <f>IF(A94="","",'UT1'!$AE$22)</f>
        <v/>
      </c>
      <c r="AE94" s="148"/>
      <c r="AF94" s="148"/>
      <c r="AG94" s="148" t="str">
        <f>IF(A94="","",'UT1'!$AF$22)</f>
        <v/>
      </c>
      <c r="AH94" s="151" t="str">
        <f t="shared" si="3"/>
        <v/>
      </c>
    </row>
    <row r="95" spans="1:34">
      <c r="A95" s="148" t="str">
        <f>IF(OR(IFERROR('UT1'!$W$23&gt;=$B$3,FALSE),'UT1'!$AC$23="Forcée",'UT1'!$X$23&lt;&gt;"",'UT1'!$AA$23&lt;&gt;""),"UT1-23","")</f>
        <v/>
      </c>
      <c r="B95" s="148" t="str">
        <f>IF(OR(IFERROR('UT1'!$W$23&gt;=$B$3,FALSE),'UT1'!$AC$23="Forcée",'UT1'!$X$23&lt;&gt;"",'UT1'!$AA$23&lt;&gt;""),"UT1","")</f>
        <v/>
      </c>
      <c r="C95" s="148" t="str">
        <f>IF(OR(IFERROR('UT1'!$W$23&gt;=$B$3,FALSE),'UT1'!$AC$23="Forcée",'UT1'!$X$23&lt;&gt;"",'UT1'!$AA$23&lt;&gt;""),'UT1'!$A$23,"")</f>
        <v/>
      </c>
      <c r="D95" s="148" t="str">
        <f>IF(OR(IFERROR('UT1'!$W$23&gt;=$B$3,FALSE),'UT1'!$AC$23="Forcée",'UT1'!$X$23&lt;&gt;"",'UT1'!$AA$23&lt;&gt;""),'UT1'!$B$23,"")</f>
        <v/>
      </c>
      <c r="E95" s="148" t="str">
        <f>IF(OR(IFERROR('UT1'!$W$23&gt;=$B$3,FALSE),'UT1'!$AC$23="Forcée",'UT1'!$X$23&lt;&gt;"",'UT1'!$AA$23&lt;&gt;""),'UT1'!$C$23,"")</f>
        <v/>
      </c>
      <c r="F95" s="148" t="str">
        <f>IF(OR(IFERROR('UT1'!$W$23&gt;=$B$3,FALSE),'UT1'!$AC$23="Forcée",'UT1'!$X$23&lt;&gt;"",'UT1'!$AA$23&lt;&gt;""),'UT1'!$D$23,"")</f>
        <v/>
      </c>
      <c r="G95" s="148" t="str">
        <f>IF(OR(IFERROR('UT1'!$W$23&gt;=$B$3,FALSE),'UT1'!$AC$23="Forcée",'UT1'!$X$23&lt;&gt;"",'UT1'!$AA$23&lt;&gt;""),'UT1'!$E$23,"")</f>
        <v/>
      </c>
      <c r="H95" s="148" t="str">
        <f>IF(OR(IFERROR('UT1'!$W$23&gt;=$B$3,FALSE),'UT1'!$AC$23="Forcée",'UT1'!$X$23&lt;&gt;"",'UT1'!$AA$23&lt;&gt;""),'UT1'!$H$23,"")</f>
        <v/>
      </c>
      <c r="I95" s="148" t="str">
        <f>IF(OR(IFERROR('UT1'!$W$23&gt;=$B$3,FALSE),'UT1'!$AC$23="Forcée",'UT1'!$X$23&lt;&gt;"",'UT1'!$AA$23&lt;&gt;""),'UT1'!$W$23,"")</f>
        <v/>
      </c>
      <c r="J95" s="148" t="str">
        <f t="shared" si="2"/>
        <v/>
      </c>
      <c r="K95" s="148" t="str">
        <f>IF(A95="","",IF('UT1'!$AC$23="Forcée","Forcée",IF('UT1'!$AC$23="Exclue","Exclue","Automatique")))</f>
        <v/>
      </c>
      <c r="L95" s="148" t="str">
        <f>IF(A95="","",IF('UT1'!$AC$23="Exclue","Exclu",IF('UT1'!$W$23&gt;=$B$3,"Actif - risque significatif",IF(AND('UT1'!$W$23&lt;$B$3,'UT1'!$AD$23="Oui"),"Maîtrisé / clôturable","Maîtrisé - à vérifier"))))</f>
        <v/>
      </c>
      <c r="M95" s="148" t="str">
        <f>IF(A95="","",IF('UT1'!$W$23&gt;=16,"P1 - Critique",IF('UT1'!$W$23&gt;=13,"P2 - Haute",IF('UT1'!$W$23&gt;=9,"P3 - Moyenne","P4 - Basse"))))</f>
        <v/>
      </c>
      <c r="N95" s="148"/>
      <c r="O95" s="148" t="str">
        <f>IF(A95="","",'UT1'!$X$23)</f>
        <v/>
      </c>
      <c r="P95" s="148"/>
      <c r="Q95" s="148"/>
      <c r="R95" s="148" t="str">
        <f>IF(A95="","",'UT1'!$Z$23)</f>
        <v/>
      </c>
      <c r="S95" s="148"/>
      <c r="T95" s="148"/>
      <c r="U95" s="149"/>
      <c r="V95" s="150"/>
      <c r="W95" s="150" t="str">
        <f>IF(A95="","",'UT1'!$Y$23)</f>
        <v/>
      </c>
      <c r="X95" s="148"/>
      <c r="Y95" s="148"/>
      <c r="Z95" s="148"/>
      <c r="AA95" s="148"/>
      <c r="AB95" s="148" t="str">
        <f>IF(A95="","",'UT1'!$AA$23)</f>
        <v/>
      </c>
      <c r="AC95" s="148" t="str">
        <f>IF(A95="","",'UT1'!$AD$23)</f>
        <v/>
      </c>
      <c r="AD95" s="150" t="str">
        <f>IF(A95="","",'UT1'!$AE$23)</f>
        <v/>
      </c>
      <c r="AE95" s="148"/>
      <c r="AF95" s="148"/>
      <c r="AG95" s="148" t="str">
        <f>IF(A95="","",'UT1'!$AF$23)</f>
        <v/>
      </c>
      <c r="AH95" s="151" t="str">
        <f t="shared" si="3"/>
        <v/>
      </c>
    </row>
    <row r="96" spans="1:34">
      <c r="A96" s="148" t="str">
        <f>IF(OR(IFERROR('UT1'!$W$24&gt;=$B$3,FALSE),'UT1'!$AC$24="Forcée",'UT1'!$X$24&lt;&gt;"",'UT1'!$AA$24&lt;&gt;""),"UT1-24","")</f>
        <v/>
      </c>
      <c r="B96" s="148" t="str">
        <f>IF(OR(IFERROR('UT1'!$W$24&gt;=$B$3,FALSE),'UT1'!$AC$24="Forcée",'UT1'!$X$24&lt;&gt;"",'UT1'!$AA$24&lt;&gt;""),"UT1","")</f>
        <v/>
      </c>
      <c r="C96" s="148" t="str">
        <f>IF(OR(IFERROR('UT1'!$W$24&gt;=$B$3,FALSE),'UT1'!$AC$24="Forcée",'UT1'!$X$24&lt;&gt;"",'UT1'!$AA$24&lt;&gt;""),'UT1'!$A$24,"")</f>
        <v/>
      </c>
      <c r="D96" s="148" t="str">
        <f>IF(OR(IFERROR('UT1'!$W$24&gt;=$B$3,FALSE),'UT1'!$AC$24="Forcée",'UT1'!$X$24&lt;&gt;"",'UT1'!$AA$24&lt;&gt;""),'UT1'!$B$24,"")</f>
        <v/>
      </c>
      <c r="E96" s="148" t="str">
        <f>IF(OR(IFERROR('UT1'!$W$24&gt;=$B$3,FALSE),'UT1'!$AC$24="Forcée",'UT1'!$X$24&lt;&gt;"",'UT1'!$AA$24&lt;&gt;""),'UT1'!$C$24,"")</f>
        <v/>
      </c>
      <c r="F96" s="148" t="str">
        <f>IF(OR(IFERROR('UT1'!$W$24&gt;=$B$3,FALSE),'UT1'!$AC$24="Forcée",'UT1'!$X$24&lt;&gt;"",'UT1'!$AA$24&lt;&gt;""),'UT1'!$D$24,"")</f>
        <v/>
      </c>
      <c r="G96" s="148" t="str">
        <f>IF(OR(IFERROR('UT1'!$W$24&gt;=$B$3,FALSE),'UT1'!$AC$24="Forcée",'UT1'!$X$24&lt;&gt;"",'UT1'!$AA$24&lt;&gt;""),'UT1'!$E$24,"")</f>
        <v/>
      </c>
      <c r="H96" s="148" t="str">
        <f>IF(OR(IFERROR('UT1'!$W$24&gt;=$B$3,FALSE),'UT1'!$AC$24="Forcée",'UT1'!$X$24&lt;&gt;"",'UT1'!$AA$24&lt;&gt;""),'UT1'!$H$24,"")</f>
        <v/>
      </c>
      <c r="I96" s="148" t="str">
        <f>IF(OR(IFERROR('UT1'!$W$24&gt;=$B$3,FALSE),'UT1'!$AC$24="Forcée",'UT1'!$X$24&lt;&gt;"",'UT1'!$AA$24&lt;&gt;""),'UT1'!$W$24,"")</f>
        <v/>
      </c>
      <c r="J96" s="148" t="str">
        <f t="shared" si="2"/>
        <v/>
      </c>
      <c r="K96" s="148" t="str">
        <f>IF(A96="","",IF('UT1'!$AC$24="Forcée","Forcée",IF('UT1'!$AC$24="Exclue","Exclue","Automatique")))</f>
        <v/>
      </c>
      <c r="L96" s="148" t="str">
        <f>IF(A96="","",IF('UT1'!$AC$24="Exclue","Exclu",IF('UT1'!$W$24&gt;=$B$3,"Actif - risque significatif",IF(AND('UT1'!$W$24&lt;$B$3,'UT1'!$AD$24="Oui"),"Maîtrisé / clôturable","Maîtrisé - à vérifier"))))</f>
        <v/>
      </c>
      <c r="M96" s="148" t="str">
        <f>IF(A96="","",IF('UT1'!$W$24&gt;=16,"P1 - Critique",IF('UT1'!$W$24&gt;=13,"P2 - Haute",IF('UT1'!$W$24&gt;=9,"P3 - Moyenne","P4 - Basse"))))</f>
        <v/>
      </c>
      <c r="N96" s="148"/>
      <c r="O96" s="148" t="str">
        <f>IF(A96="","",'UT1'!$X$24)</f>
        <v/>
      </c>
      <c r="P96" s="148"/>
      <c r="Q96" s="148"/>
      <c r="R96" s="148" t="str">
        <f>IF(A96="","",'UT1'!$Z$24)</f>
        <v/>
      </c>
      <c r="S96" s="148"/>
      <c r="T96" s="148"/>
      <c r="U96" s="149"/>
      <c r="V96" s="150"/>
      <c r="W96" s="150" t="str">
        <f>IF(A96="","",'UT1'!$Y$24)</f>
        <v/>
      </c>
      <c r="X96" s="148"/>
      <c r="Y96" s="148"/>
      <c r="Z96" s="148"/>
      <c r="AA96" s="148"/>
      <c r="AB96" s="148" t="str">
        <f>IF(A96="","",'UT1'!$AA$24)</f>
        <v/>
      </c>
      <c r="AC96" s="148" t="str">
        <f>IF(A96="","",'UT1'!$AD$24)</f>
        <v/>
      </c>
      <c r="AD96" s="150" t="str">
        <f>IF(A96="","",'UT1'!$AE$24)</f>
        <v/>
      </c>
      <c r="AE96" s="148"/>
      <c r="AF96" s="148"/>
      <c r="AG96" s="148" t="str">
        <f>IF(A96="","",'UT1'!$AF$24)</f>
        <v/>
      </c>
      <c r="AH96" s="151" t="str">
        <f t="shared" si="3"/>
        <v/>
      </c>
    </row>
    <row r="97" spans="1:34">
      <c r="A97" s="148" t="str">
        <f>IF(OR(IFERROR('UT1'!$W$25&gt;=$B$3,FALSE),'UT1'!$AC$25="Forcée",'UT1'!$X$25&lt;&gt;"",'UT1'!$AA$25&lt;&gt;""),"UT1-25","")</f>
        <v/>
      </c>
      <c r="B97" s="148" t="str">
        <f>IF(OR(IFERROR('UT1'!$W$25&gt;=$B$3,FALSE),'UT1'!$AC$25="Forcée",'UT1'!$X$25&lt;&gt;"",'UT1'!$AA$25&lt;&gt;""),"UT1","")</f>
        <v/>
      </c>
      <c r="C97" s="148" t="str">
        <f>IF(OR(IFERROR('UT1'!$W$25&gt;=$B$3,FALSE),'UT1'!$AC$25="Forcée",'UT1'!$X$25&lt;&gt;"",'UT1'!$AA$25&lt;&gt;""),'UT1'!$A$25,"")</f>
        <v/>
      </c>
      <c r="D97" s="148" t="str">
        <f>IF(OR(IFERROR('UT1'!$W$25&gt;=$B$3,FALSE),'UT1'!$AC$25="Forcée",'UT1'!$X$25&lt;&gt;"",'UT1'!$AA$25&lt;&gt;""),'UT1'!$B$25,"")</f>
        <v/>
      </c>
      <c r="E97" s="148" t="str">
        <f>IF(OR(IFERROR('UT1'!$W$25&gt;=$B$3,FALSE),'UT1'!$AC$25="Forcée",'UT1'!$X$25&lt;&gt;"",'UT1'!$AA$25&lt;&gt;""),'UT1'!$C$25,"")</f>
        <v/>
      </c>
      <c r="F97" s="148" t="str">
        <f>IF(OR(IFERROR('UT1'!$W$25&gt;=$B$3,FALSE),'UT1'!$AC$25="Forcée",'UT1'!$X$25&lt;&gt;"",'UT1'!$AA$25&lt;&gt;""),'UT1'!$D$25,"")</f>
        <v/>
      </c>
      <c r="G97" s="148" t="str">
        <f>IF(OR(IFERROR('UT1'!$W$25&gt;=$B$3,FALSE),'UT1'!$AC$25="Forcée",'UT1'!$X$25&lt;&gt;"",'UT1'!$AA$25&lt;&gt;""),'UT1'!$E$25,"")</f>
        <v/>
      </c>
      <c r="H97" s="148" t="str">
        <f>IF(OR(IFERROR('UT1'!$W$25&gt;=$B$3,FALSE),'UT1'!$AC$25="Forcée",'UT1'!$X$25&lt;&gt;"",'UT1'!$AA$25&lt;&gt;""),'UT1'!$H$25,"")</f>
        <v/>
      </c>
      <c r="I97" s="148" t="str">
        <f>IF(OR(IFERROR('UT1'!$W$25&gt;=$B$3,FALSE),'UT1'!$AC$25="Forcée",'UT1'!$X$25&lt;&gt;"",'UT1'!$AA$25&lt;&gt;""),'UT1'!$W$25,"")</f>
        <v/>
      </c>
      <c r="J97" s="148" t="str">
        <f t="shared" si="2"/>
        <v/>
      </c>
      <c r="K97" s="148" t="str">
        <f>IF(A97="","",IF('UT1'!$AC$25="Forcée","Forcée",IF('UT1'!$AC$25="Exclue","Exclue","Automatique")))</f>
        <v/>
      </c>
      <c r="L97" s="148" t="str">
        <f>IF(A97="","",IF('UT1'!$AC$25="Exclue","Exclu",IF('UT1'!$W$25&gt;=$B$3,"Actif - risque significatif",IF(AND('UT1'!$W$25&lt;$B$3,'UT1'!$AD$25="Oui"),"Maîtrisé / clôturable","Maîtrisé - à vérifier"))))</f>
        <v/>
      </c>
      <c r="M97" s="148" t="str">
        <f>IF(A97="","",IF('UT1'!$W$25&gt;=16,"P1 - Critique",IF('UT1'!$W$25&gt;=13,"P2 - Haute",IF('UT1'!$W$25&gt;=9,"P3 - Moyenne","P4 - Basse"))))</f>
        <v/>
      </c>
      <c r="N97" s="148"/>
      <c r="O97" s="148" t="str">
        <f>IF(A97="","",'UT1'!$X$25)</f>
        <v/>
      </c>
      <c r="P97" s="148"/>
      <c r="Q97" s="148"/>
      <c r="R97" s="148" t="str">
        <f>IF(A97="","",'UT1'!$Z$25)</f>
        <v/>
      </c>
      <c r="S97" s="148"/>
      <c r="T97" s="148"/>
      <c r="U97" s="149"/>
      <c r="V97" s="150"/>
      <c r="W97" s="150" t="str">
        <f>IF(A97="","",'UT1'!$Y$25)</f>
        <v/>
      </c>
      <c r="X97" s="148"/>
      <c r="Y97" s="148"/>
      <c r="Z97" s="148"/>
      <c r="AA97" s="148"/>
      <c r="AB97" s="148" t="str">
        <f>IF(A97="","",'UT1'!$AA$25)</f>
        <v/>
      </c>
      <c r="AC97" s="148" t="str">
        <f>IF(A97="","",'UT1'!$AD$25)</f>
        <v/>
      </c>
      <c r="AD97" s="150" t="str">
        <f>IF(A97="","",'UT1'!$AE$25)</f>
        <v/>
      </c>
      <c r="AE97" s="148"/>
      <c r="AF97" s="148"/>
      <c r="AG97" s="148" t="str">
        <f>IF(A97="","",'UT1'!$AF$25)</f>
        <v/>
      </c>
      <c r="AH97" s="151" t="str">
        <f t="shared" si="3"/>
        <v/>
      </c>
    </row>
    <row r="98" spans="1:34">
      <c r="A98" s="148" t="str">
        <f>IF(OR(IFERROR('UT1'!$W$26&gt;=$B$3,FALSE),'UT1'!$AC$26="Forcée",'UT1'!$X$26&lt;&gt;"",'UT1'!$AA$26&lt;&gt;""),"UT1-26","")</f>
        <v/>
      </c>
      <c r="B98" s="148" t="str">
        <f>IF(OR(IFERROR('UT1'!$W$26&gt;=$B$3,FALSE),'UT1'!$AC$26="Forcée",'UT1'!$X$26&lt;&gt;"",'UT1'!$AA$26&lt;&gt;""),"UT1","")</f>
        <v/>
      </c>
      <c r="C98" s="148" t="str">
        <f>IF(OR(IFERROR('UT1'!$W$26&gt;=$B$3,FALSE),'UT1'!$AC$26="Forcée",'UT1'!$X$26&lt;&gt;"",'UT1'!$AA$26&lt;&gt;""),'UT1'!$A$26,"")</f>
        <v/>
      </c>
      <c r="D98" s="148" t="str">
        <f>IF(OR(IFERROR('UT1'!$W$26&gt;=$B$3,FALSE),'UT1'!$AC$26="Forcée",'UT1'!$X$26&lt;&gt;"",'UT1'!$AA$26&lt;&gt;""),'UT1'!$B$26,"")</f>
        <v/>
      </c>
      <c r="E98" s="148" t="str">
        <f>IF(OR(IFERROR('UT1'!$W$26&gt;=$B$3,FALSE),'UT1'!$AC$26="Forcée",'UT1'!$X$26&lt;&gt;"",'UT1'!$AA$26&lt;&gt;""),'UT1'!$C$26,"")</f>
        <v/>
      </c>
      <c r="F98" s="148" t="str">
        <f>IF(OR(IFERROR('UT1'!$W$26&gt;=$B$3,FALSE),'UT1'!$AC$26="Forcée",'UT1'!$X$26&lt;&gt;"",'UT1'!$AA$26&lt;&gt;""),'UT1'!$D$26,"")</f>
        <v/>
      </c>
      <c r="G98" s="148" t="str">
        <f>IF(OR(IFERROR('UT1'!$W$26&gt;=$B$3,FALSE),'UT1'!$AC$26="Forcée",'UT1'!$X$26&lt;&gt;"",'UT1'!$AA$26&lt;&gt;""),'UT1'!$E$26,"")</f>
        <v/>
      </c>
      <c r="H98" s="148" t="str">
        <f>IF(OR(IFERROR('UT1'!$W$26&gt;=$B$3,FALSE),'UT1'!$AC$26="Forcée",'UT1'!$X$26&lt;&gt;"",'UT1'!$AA$26&lt;&gt;""),'UT1'!$H$26,"")</f>
        <v/>
      </c>
      <c r="I98" s="148" t="str">
        <f>IF(OR(IFERROR('UT1'!$W$26&gt;=$B$3,FALSE),'UT1'!$AC$26="Forcée",'UT1'!$X$26&lt;&gt;"",'UT1'!$AA$26&lt;&gt;""),'UT1'!$W$26,"")</f>
        <v/>
      </c>
      <c r="J98" s="148" t="str">
        <f t="shared" si="2"/>
        <v/>
      </c>
      <c r="K98" s="148" t="str">
        <f>IF(A98="","",IF('UT1'!$AC$26="Forcée","Forcée",IF('UT1'!$AC$26="Exclue","Exclue","Automatique")))</f>
        <v/>
      </c>
      <c r="L98" s="148" t="str">
        <f>IF(A98="","",IF('UT1'!$AC$26="Exclue","Exclu",IF('UT1'!$W$26&gt;=$B$3,"Actif - risque significatif",IF(AND('UT1'!$W$26&lt;$B$3,'UT1'!$AD$26="Oui"),"Maîtrisé / clôturable","Maîtrisé - à vérifier"))))</f>
        <v/>
      </c>
      <c r="M98" s="148" t="str">
        <f>IF(A98="","",IF('UT1'!$W$26&gt;=16,"P1 - Critique",IF('UT1'!$W$26&gt;=13,"P2 - Haute",IF('UT1'!$W$26&gt;=9,"P3 - Moyenne","P4 - Basse"))))</f>
        <v/>
      </c>
      <c r="N98" s="148"/>
      <c r="O98" s="148" t="str">
        <f>IF(A98="","",'UT1'!$X$26)</f>
        <v/>
      </c>
      <c r="P98" s="148"/>
      <c r="Q98" s="148"/>
      <c r="R98" s="148" t="str">
        <f>IF(A98="","",'UT1'!$Z$26)</f>
        <v/>
      </c>
      <c r="S98" s="148"/>
      <c r="T98" s="148"/>
      <c r="U98" s="149"/>
      <c r="V98" s="150"/>
      <c r="W98" s="150" t="str">
        <f>IF(A98="","",'UT1'!$Y$26)</f>
        <v/>
      </c>
      <c r="X98" s="148"/>
      <c r="Y98" s="148"/>
      <c r="Z98" s="148"/>
      <c r="AA98" s="148"/>
      <c r="AB98" s="148" t="str">
        <f>IF(A98="","",'UT1'!$AA$26)</f>
        <v/>
      </c>
      <c r="AC98" s="148" t="str">
        <f>IF(A98="","",'UT1'!$AD$26)</f>
        <v/>
      </c>
      <c r="AD98" s="150" t="str">
        <f>IF(A98="","",'UT1'!$AE$26)</f>
        <v/>
      </c>
      <c r="AE98" s="148"/>
      <c r="AF98" s="148"/>
      <c r="AG98" s="148" t="str">
        <f>IF(A98="","",'UT1'!$AF$26)</f>
        <v/>
      </c>
      <c r="AH98" s="151" t="str">
        <f t="shared" si="3"/>
        <v/>
      </c>
    </row>
    <row r="99" spans="1:34">
      <c r="A99" s="148" t="str">
        <f>IF(OR(IFERROR('UT1'!$W$27&gt;=$B$3,FALSE),'UT1'!$AC$27="Forcée",'UT1'!$X$27&lt;&gt;"",'UT1'!$AA$27&lt;&gt;""),"UT1-27","")</f>
        <v/>
      </c>
      <c r="B99" s="148" t="str">
        <f>IF(OR(IFERROR('UT1'!$W$27&gt;=$B$3,FALSE),'UT1'!$AC$27="Forcée",'UT1'!$X$27&lt;&gt;"",'UT1'!$AA$27&lt;&gt;""),"UT1","")</f>
        <v/>
      </c>
      <c r="C99" s="148" t="str">
        <f>IF(OR(IFERROR('UT1'!$W$27&gt;=$B$3,FALSE),'UT1'!$AC$27="Forcée",'UT1'!$X$27&lt;&gt;"",'UT1'!$AA$27&lt;&gt;""),'UT1'!$A$27,"")</f>
        <v/>
      </c>
      <c r="D99" s="148" t="str">
        <f>IF(OR(IFERROR('UT1'!$W$27&gt;=$B$3,FALSE),'UT1'!$AC$27="Forcée",'UT1'!$X$27&lt;&gt;"",'UT1'!$AA$27&lt;&gt;""),'UT1'!$B$27,"")</f>
        <v/>
      </c>
      <c r="E99" s="148" t="str">
        <f>IF(OR(IFERROR('UT1'!$W$27&gt;=$B$3,FALSE),'UT1'!$AC$27="Forcée",'UT1'!$X$27&lt;&gt;"",'UT1'!$AA$27&lt;&gt;""),'UT1'!$C$27,"")</f>
        <v/>
      </c>
      <c r="F99" s="148" t="str">
        <f>IF(OR(IFERROR('UT1'!$W$27&gt;=$B$3,FALSE),'UT1'!$AC$27="Forcée",'UT1'!$X$27&lt;&gt;"",'UT1'!$AA$27&lt;&gt;""),'UT1'!$D$27,"")</f>
        <v/>
      </c>
      <c r="G99" s="148" t="str">
        <f>IF(OR(IFERROR('UT1'!$W$27&gt;=$B$3,FALSE),'UT1'!$AC$27="Forcée",'UT1'!$X$27&lt;&gt;"",'UT1'!$AA$27&lt;&gt;""),'UT1'!$E$27,"")</f>
        <v/>
      </c>
      <c r="H99" s="148" t="str">
        <f>IF(OR(IFERROR('UT1'!$W$27&gt;=$B$3,FALSE),'UT1'!$AC$27="Forcée",'UT1'!$X$27&lt;&gt;"",'UT1'!$AA$27&lt;&gt;""),'UT1'!$H$27,"")</f>
        <v/>
      </c>
      <c r="I99" s="148" t="str">
        <f>IF(OR(IFERROR('UT1'!$W$27&gt;=$B$3,FALSE),'UT1'!$AC$27="Forcée",'UT1'!$X$27&lt;&gt;"",'UT1'!$AA$27&lt;&gt;""),'UT1'!$W$27,"")</f>
        <v/>
      </c>
      <c r="J99" s="148" t="str">
        <f t="shared" si="2"/>
        <v/>
      </c>
      <c r="K99" s="148" t="str">
        <f>IF(A99="","",IF('UT1'!$AC$27="Forcée","Forcée",IF('UT1'!$AC$27="Exclue","Exclue","Automatique")))</f>
        <v/>
      </c>
      <c r="L99" s="148" t="str">
        <f>IF(A99="","",IF('UT1'!$AC$27="Exclue","Exclu",IF('UT1'!$W$27&gt;=$B$3,"Actif - risque significatif",IF(AND('UT1'!$W$27&lt;$B$3,'UT1'!$AD$27="Oui"),"Maîtrisé / clôturable","Maîtrisé - à vérifier"))))</f>
        <v/>
      </c>
      <c r="M99" s="148" t="str">
        <f>IF(A99="","",IF('UT1'!$W$27&gt;=16,"P1 - Critique",IF('UT1'!$W$27&gt;=13,"P2 - Haute",IF('UT1'!$W$27&gt;=9,"P3 - Moyenne","P4 - Basse"))))</f>
        <v/>
      </c>
      <c r="N99" s="148"/>
      <c r="O99" s="148" t="str">
        <f>IF(A99="","",'UT1'!$X$27)</f>
        <v/>
      </c>
      <c r="P99" s="148"/>
      <c r="Q99" s="148"/>
      <c r="R99" s="148" t="str">
        <f>IF(A99="","",'UT1'!$Z$27)</f>
        <v/>
      </c>
      <c r="S99" s="148"/>
      <c r="T99" s="148"/>
      <c r="U99" s="149"/>
      <c r="V99" s="150"/>
      <c r="W99" s="150" t="str">
        <f>IF(A99="","",'UT1'!$Y$27)</f>
        <v/>
      </c>
      <c r="X99" s="148"/>
      <c r="Y99" s="148"/>
      <c r="Z99" s="148"/>
      <c r="AA99" s="148"/>
      <c r="AB99" s="148" t="str">
        <f>IF(A99="","",'UT1'!$AA$27)</f>
        <v/>
      </c>
      <c r="AC99" s="148" t="str">
        <f>IF(A99="","",'UT1'!$AD$27)</f>
        <v/>
      </c>
      <c r="AD99" s="150" t="str">
        <f>IF(A99="","",'UT1'!$AE$27)</f>
        <v/>
      </c>
      <c r="AE99" s="148"/>
      <c r="AF99" s="148"/>
      <c r="AG99" s="148" t="str">
        <f>IF(A99="","",'UT1'!$AF$27)</f>
        <v/>
      </c>
      <c r="AH99" s="151" t="str">
        <f t="shared" si="3"/>
        <v/>
      </c>
    </row>
    <row r="100" spans="1:34">
      <c r="A100" s="148" t="str">
        <f>IF(OR(IFERROR('UT1'!$W$28&gt;=$B$3,FALSE),'UT1'!$AC$28="Forcée",'UT1'!$X$28&lt;&gt;"",'UT1'!$AA$28&lt;&gt;""),"UT1-28","")</f>
        <v/>
      </c>
      <c r="B100" s="148" t="str">
        <f>IF(OR(IFERROR('UT1'!$W$28&gt;=$B$3,FALSE),'UT1'!$AC$28="Forcée",'UT1'!$X$28&lt;&gt;"",'UT1'!$AA$28&lt;&gt;""),"UT1","")</f>
        <v/>
      </c>
      <c r="C100" s="148" t="str">
        <f>IF(OR(IFERROR('UT1'!$W$28&gt;=$B$3,FALSE),'UT1'!$AC$28="Forcée",'UT1'!$X$28&lt;&gt;"",'UT1'!$AA$28&lt;&gt;""),'UT1'!$A$28,"")</f>
        <v/>
      </c>
      <c r="D100" s="148" t="str">
        <f>IF(OR(IFERROR('UT1'!$W$28&gt;=$B$3,FALSE),'UT1'!$AC$28="Forcée",'UT1'!$X$28&lt;&gt;"",'UT1'!$AA$28&lt;&gt;""),'UT1'!$B$28,"")</f>
        <v/>
      </c>
      <c r="E100" s="148" t="str">
        <f>IF(OR(IFERROR('UT1'!$W$28&gt;=$B$3,FALSE),'UT1'!$AC$28="Forcée",'UT1'!$X$28&lt;&gt;"",'UT1'!$AA$28&lt;&gt;""),'UT1'!$C$28,"")</f>
        <v/>
      </c>
      <c r="F100" s="148" t="str">
        <f>IF(OR(IFERROR('UT1'!$W$28&gt;=$B$3,FALSE),'UT1'!$AC$28="Forcée",'UT1'!$X$28&lt;&gt;"",'UT1'!$AA$28&lt;&gt;""),'UT1'!$D$28,"")</f>
        <v/>
      </c>
      <c r="G100" s="148" t="str">
        <f>IF(OR(IFERROR('UT1'!$W$28&gt;=$B$3,FALSE),'UT1'!$AC$28="Forcée",'UT1'!$X$28&lt;&gt;"",'UT1'!$AA$28&lt;&gt;""),'UT1'!$E$28,"")</f>
        <v/>
      </c>
      <c r="H100" s="148" t="str">
        <f>IF(OR(IFERROR('UT1'!$W$28&gt;=$B$3,FALSE),'UT1'!$AC$28="Forcée",'UT1'!$X$28&lt;&gt;"",'UT1'!$AA$28&lt;&gt;""),'UT1'!$H$28,"")</f>
        <v/>
      </c>
      <c r="I100" s="148" t="str">
        <f>IF(OR(IFERROR('UT1'!$W$28&gt;=$B$3,FALSE),'UT1'!$AC$28="Forcée",'UT1'!$X$28&lt;&gt;"",'UT1'!$AA$28&lt;&gt;""),'UT1'!$W$28,"")</f>
        <v/>
      </c>
      <c r="J100" s="148" t="str">
        <f t="shared" si="2"/>
        <v/>
      </c>
      <c r="K100" s="148" t="str">
        <f>IF(A100="","",IF('UT1'!$AC$28="Forcée","Forcée",IF('UT1'!$AC$28="Exclue","Exclue","Automatique")))</f>
        <v/>
      </c>
      <c r="L100" s="148" t="str">
        <f>IF(A100="","",IF('UT1'!$AC$28="Exclue","Exclu",IF('UT1'!$W$28&gt;=$B$3,"Actif - risque significatif",IF(AND('UT1'!$W$28&lt;$B$3,'UT1'!$AD$28="Oui"),"Maîtrisé / clôturable","Maîtrisé - à vérifier"))))</f>
        <v/>
      </c>
      <c r="M100" s="148" t="str">
        <f>IF(A100="","",IF('UT1'!$W$28&gt;=16,"P1 - Critique",IF('UT1'!$W$28&gt;=13,"P2 - Haute",IF('UT1'!$W$28&gt;=9,"P3 - Moyenne","P4 - Basse"))))</f>
        <v/>
      </c>
      <c r="N100" s="148"/>
      <c r="O100" s="148" t="str">
        <f>IF(A100="","",'UT1'!$X$28)</f>
        <v/>
      </c>
      <c r="P100" s="148"/>
      <c r="Q100" s="148"/>
      <c r="R100" s="148" t="str">
        <f>IF(A100="","",'UT1'!$Z$28)</f>
        <v/>
      </c>
      <c r="S100" s="148"/>
      <c r="T100" s="148"/>
      <c r="U100" s="149"/>
      <c r="V100" s="150"/>
      <c r="W100" s="150" t="str">
        <f>IF(A100="","",'UT1'!$Y$28)</f>
        <v/>
      </c>
      <c r="X100" s="148"/>
      <c r="Y100" s="148"/>
      <c r="Z100" s="148"/>
      <c r="AA100" s="148"/>
      <c r="AB100" s="148" t="str">
        <f>IF(A100="","",'UT1'!$AA$28)</f>
        <v/>
      </c>
      <c r="AC100" s="148" t="str">
        <f>IF(A100="","",'UT1'!$AD$28)</f>
        <v/>
      </c>
      <c r="AD100" s="150" t="str">
        <f>IF(A100="","",'UT1'!$AE$28)</f>
        <v/>
      </c>
      <c r="AE100" s="148"/>
      <c r="AF100" s="148"/>
      <c r="AG100" s="148" t="str">
        <f>IF(A100="","",'UT1'!$AF$28)</f>
        <v/>
      </c>
      <c r="AH100" s="151" t="str">
        <f t="shared" si="3"/>
        <v/>
      </c>
    </row>
    <row r="101" spans="1:34">
      <c r="A101" s="148" t="str">
        <f>IF(OR(IFERROR('UT1'!$W$29&gt;=$B$3,FALSE),'UT1'!$AC$29="Forcée",'UT1'!$X$29&lt;&gt;"",'UT1'!$AA$29&lt;&gt;""),"UT1-29","")</f>
        <v/>
      </c>
      <c r="B101" s="148" t="str">
        <f>IF(OR(IFERROR('UT1'!$W$29&gt;=$B$3,FALSE),'UT1'!$AC$29="Forcée",'UT1'!$X$29&lt;&gt;"",'UT1'!$AA$29&lt;&gt;""),"UT1","")</f>
        <v/>
      </c>
      <c r="C101" s="148" t="str">
        <f>IF(OR(IFERROR('UT1'!$W$29&gt;=$B$3,FALSE),'UT1'!$AC$29="Forcée",'UT1'!$X$29&lt;&gt;"",'UT1'!$AA$29&lt;&gt;""),'UT1'!$A$29,"")</f>
        <v/>
      </c>
      <c r="D101" s="148" t="str">
        <f>IF(OR(IFERROR('UT1'!$W$29&gt;=$B$3,FALSE),'UT1'!$AC$29="Forcée",'UT1'!$X$29&lt;&gt;"",'UT1'!$AA$29&lt;&gt;""),'UT1'!$B$29,"")</f>
        <v/>
      </c>
      <c r="E101" s="148" t="str">
        <f>IF(OR(IFERROR('UT1'!$W$29&gt;=$B$3,FALSE),'UT1'!$AC$29="Forcée",'UT1'!$X$29&lt;&gt;"",'UT1'!$AA$29&lt;&gt;""),'UT1'!$C$29,"")</f>
        <v/>
      </c>
      <c r="F101" s="148" t="str">
        <f>IF(OR(IFERROR('UT1'!$W$29&gt;=$B$3,FALSE),'UT1'!$AC$29="Forcée",'UT1'!$X$29&lt;&gt;"",'UT1'!$AA$29&lt;&gt;""),'UT1'!$D$29,"")</f>
        <v/>
      </c>
      <c r="G101" s="148" t="str">
        <f>IF(OR(IFERROR('UT1'!$W$29&gt;=$B$3,FALSE),'UT1'!$AC$29="Forcée",'UT1'!$X$29&lt;&gt;"",'UT1'!$AA$29&lt;&gt;""),'UT1'!$E$29,"")</f>
        <v/>
      </c>
      <c r="H101" s="148" t="str">
        <f>IF(OR(IFERROR('UT1'!$W$29&gt;=$B$3,FALSE),'UT1'!$AC$29="Forcée",'UT1'!$X$29&lt;&gt;"",'UT1'!$AA$29&lt;&gt;""),'UT1'!$H$29,"")</f>
        <v/>
      </c>
      <c r="I101" s="148" t="str">
        <f>IF(OR(IFERROR('UT1'!$W$29&gt;=$B$3,FALSE),'UT1'!$AC$29="Forcée",'UT1'!$X$29&lt;&gt;"",'UT1'!$AA$29&lt;&gt;""),'UT1'!$W$29,"")</f>
        <v/>
      </c>
      <c r="J101" s="148" t="str">
        <f t="shared" si="2"/>
        <v/>
      </c>
      <c r="K101" s="148" t="str">
        <f>IF(A101="","",IF('UT1'!$AC$29="Forcée","Forcée",IF('UT1'!$AC$29="Exclue","Exclue","Automatique")))</f>
        <v/>
      </c>
      <c r="L101" s="148" t="str">
        <f>IF(A101="","",IF('UT1'!$AC$29="Exclue","Exclu",IF('UT1'!$W$29&gt;=$B$3,"Actif - risque significatif",IF(AND('UT1'!$W$29&lt;$B$3,'UT1'!$AD$29="Oui"),"Maîtrisé / clôturable","Maîtrisé - à vérifier"))))</f>
        <v/>
      </c>
      <c r="M101" s="148" t="str">
        <f>IF(A101="","",IF('UT1'!$W$29&gt;=16,"P1 - Critique",IF('UT1'!$W$29&gt;=13,"P2 - Haute",IF('UT1'!$W$29&gt;=9,"P3 - Moyenne","P4 - Basse"))))</f>
        <v/>
      </c>
      <c r="N101" s="148"/>
      <c r="O101" s="148" t="str">
        <f>IF(A101="","",'UT1'!$X$29)</f>
        <v/>
      </c>
      <c r="P101" s="148"/>
      <c r="Q101" s="148"/>
      <c r="R101" s="148" t="str">
        <f>IF(A101="","",'UT1'!$Z$29)</f>
        <v/>
      </c>
      <c r="S101" s="148"/>
      <c r="T101" s="148"/>
      <c r="U101" s="149"/>
      <c r="V101" s="150"/>
      <c r="W101" s="150" t="str">
        <f>IF(A101="","",'UT1'!$Y$29)</f>
        <v/>
      </c>
      <c r="X101" s="148"/>
      <c r="Y101" s="148"/>
      <c r="Z101" s="148"/>
      <c r="AA101" s="148"/>
      <c r="AB101" s="148" t="str">
        <f>IF(A101="","",'UT1'!$AA$29)</f>
        <v/>
      </c>
      <c r="AC101" s="148" t="str">
        <f>IF(A101="","",'UT1'!$AD$29)</f>
        <v/>
      </c>
      <c r="AD101" s="150" t="str">
        <f>IF(A101="","",'UT1'!$AE$29)</f>
        <v/>
      </c>
      <c r="AE101" s="148"/>
      <c r="AF101" s="148"/>
      <c r="AG101" s="148" t="str">
        <f>IF(A101="","",'UT1'!$AF$29)</f>
        <v/>
      </c>
      <c r="AH101" s="151" t="str">
        <f t="shared" si="3"/>
        <v/>
      </c>
    </row>
    <row r="102" spans="1:34">
      <c r="A102" s="148" t="str">
        <f>IF(OR(IFERROR('UT1'!$W$30&gt;=$B$3,FALSE),'UT1'!$AC$30="Forcée",'UT1'!$X$30&lt;&gt;"",'UT1'!$AA$30&lt;&gt;""),"UT1-30","")</f>
        <v/>
      </c>
      <c r="B102" s="148" t="str">
        <f>IF(OR(IFERROR('UT1'!$W$30&gt;=$B$3,FALSE),'UT1'!$AC$30="Forcée",'UT1'!$X$30&lt;&gt;"",'UT1'!$AA$30&lt;&gt;""),"UT1","")</f>
        <v/>
      </c>
      <c r="C102" s="148" t="str">
        <f>IF(OR(IFERROR('UT1'!$W$30&gt;=$B$3,FALSE),'UT1'!$AC$30="Forcée",'UT1'!$X$30&lt;&gt;"",'UT1'!$AA$30&lt;&gt;""),'UT1'!$A$30,"")</f>
        <v/>
      </c>
      <c r="D102" s="148" t="str">
        <f>IF(OR(IFERROR('UT1'!$W$30&gt;=$B$3,FALSE),'UT1'!$AC$30="Forcée",'UT1'!$X$30&lt;&gt;"",'UT1'!$AA$30&lt;&gt;""),'UT1'!$B$30,"")</f>
        <v/>
      </c>
      <c r="E102" s="148" t="str">
        <f>IF(OR(IFERROR('UT1'!$W$30&gt;=$B$3,FALSE),'UT1'!$AC$30="Forcée",'UT1'!$X$30&lt;&gt;"",'UT1'!$AA$30&lt;&gt;""),'UT1'!$C$30,"")</f>
        <v/>
      </c>
      <c r="F102" s="148" t="str">
        <f>IF(OR(IFERROR('UT1'!$W$30&gt;=$B$3,FALSE),'UT1'!$AC$30="Forcée",'UT1'!$X$30&lt;&gt;"",'UT1'!$AA$30&lt;&gt;""),'UT1'!$D$30,"")</f>
        <v/>
      </c>
      <c r="G102" s="148" t="str">
        <f>IF(OR(IFERROR('UT1'!$W$30&gt;=$B$3,FALSE),'UT1'!$AC$30="Forcée",'UT1'!$X$30&lt;&gt;"",'UT1'!$AA$30&lt;&gt;""),'UT1'!$E$30,"")</f>
        <v/>
      </c>
      <c r="H102" s="148" t="str">
        <f>IF(OR(IFERROR('UT1'!$W$30&gt;=$B$3,FALSE),'UT1'!$AC$30="Forcée",'UT1'!$X$30&lt;&gt;"",'UT1'!$AA$30&lt;&gt;""),'UT1'!$H$30,"")</f>
        <v/>
      </c>
      <c r="I102" s="148" t="str">
        <f>IF(OR(IFERROR('UT1'!$W$30&gt;=$B$3,FALSE),'UT1'!$AC$30="Forcée",'UT1'!$X$30&lt;&gt;"",'UT1'!$AA$30&lt;&gt;""),'UT1'!$W$30,"")</f>
        <v/>
      </c>
      <c r="J102" s="148" t="str">
        <f t="shared" si="2"/>
        <v/>
      </c>
      <c r="K102" s="148" t="str">
        <f>IF(A102="","",IF('UT1'!$AC$30="Forcée","Forcée",IF('UT1'!$AC$30="Exclue","Exclue","Automatique")))</f>
        <v/>
      </c>
      <c r="L102" s="148" t="str">
        <f>IF(A102="","",IF('UT1'!$AC$30="Exclue","Exclu",IF('UT1'!$W$30&gt;=$B$3,"Actif - risque significatif",IF(AND('UT1'!$W$30&lt;$B$3,'UT1'!$AD$30="Oui"),"Maîtrisé / clôturable","Maîtrisé - à vérifier"))))</f>
        <v/>
      </c>
      <c r="M102" s="148" t="str">
        <f>IF(A102="","",IF('UT1'!$W$30&gt;=16,"P1 - Critique",IF('UT1'!$W$30&gt;=13,"P2 - Haute",IF('UT1'!$W$30&gt;=9,"P3 - Moyenne","P4 - Basse"))))</f>
        <v/>
      </c>
      <c r="N102" s="148"/>
      <c r="O102" s="148" t="str">
        <f>IF(A102="","",'UT1'!$X$30)</f>
        <v/>
      </c>
      <c r="P102" s="148"/>
      <c r="Q102" s="148"/>
      <c r="R102" s="148" t="str">
        <f>IF(A102="","",'UT1'!$Z$30)</f>
        <v/>
      </c>
      <c r="S102" s="148"/>
      <c r="T102" s="148"/>
      <c r="U102" s="149"/>
      <c r="V102" s="150"/>
      <c r="W102" s="150" t="str">
        <f>IF(A102="","",'UT1'!$Y$30)</f>
        <v/>
      </c>
      <c r="X102" s="148"/>
      <c r="Y102" s="148"/>
      <c r="Z102" s="148"/>
      <c r="AA102" s="148"/>
      <c r="AB102" s="148" t="str">
        <f>IF(A102="","",'UT1'!$AA$30)</f>
        <v/>
      </c>
      <c r="AC102" s="148" t="str">
        <f>IF(A102="","",'UT1'!$AD$30)</f>
        <v/>
      </c>
      <c r="AD102" s="150" t="str">
        <f>IF(A102="","",'UT1'!$AE$30)</f>
        <v/>
      </c>
      <c r="AE102" s="148"/>
      <c r="AF102" s="148"/>
      <c r="AG102" s="148" t="str">
        <f>IF(A102="","",'UT1'!$AF$30)</f>
        <v/>
      </c>
      <c r="AH102" s="151" t="str">
        <f t="shared" si="3"/>
        <v/>
      </c>
    </row>
    <row r="103" spans="1:34">
      <c r="A103" s="148" t="str">
        <f>IF(OR(IFERROR('UT1'!$W$31&gt;=$B$3,FALSE),'UT1'!$AC$31="Forcée",'UT1'!$X$31&lt;&gt;"",'UT1'!$AA$31&lt;&gt;""),"UT1-31","")</f>
        <v/>
      </c>
      <c r="B103" s="148" t="str">
        <f>IF(OR(IFERROR('UT1'!$W$31&gt;=$B$3,FALSE),'UT1'!$AC$31="Forcée",'UT1'!$X$31&lt;&gt;"",'UT1'!$AA$31&lt;&gt;""),"UT1","")</f>
        <v/>
      </c>
      <c r="C103" s="148" t="str">
        <f>IF(OR(IFERROR('UT1'!$W$31&gt;=$B$3,FALSE),'UT1'!$AC$31="Forcée",'UT1'!$X$31&lt;&gt;"",'UT1'!$AA$31&lt;&gt;""),'UT1'!$A$31,"")</f>
        <v/>
      </c>
      <c r="D103" s="148" t="str">
        <f>IF(OR(IFERROR('UT1'!$W$31&gt;=$B$3,FALSE),'UT1'!$AC$31="Forcée",'UT1'!$X$31&lt;&gt;"",'UT1'!$AA$31&lt;&gt;""),'UT1'!$B$31,"")</f>
        <v/>
      </c>
      <c r="E103" s="148" t="str">
        <f>IF(OR(IFERROR('UT1'!$W$31&gt;=$B$3,FALSE),'UT1'!$AC$31="Forcée",'UT1'!$X$31&lt;&gt;"",'UT1'!$AA$31&lt;&gt;""),'UT1'!$C$31,"")</f>
        <v/>
      </c>
      <c r="F103" s="148" t="str">
        <f>IF(OR(IFERROR('UT1'!$W$31&gt;=$B$3,FALSE),'UT1'!$AC$31="Forcée",'UT1'!$X$31&lt;&gt;"",'UT1'!$AA$31&lt;&gt;""),'UT1'!$D$31,"")</f>
        <v/>
      </c>
      <c r="G103" s="148" t="str">
        <f>IF(OR(IFERROR('UT1'!$W$31&gt;=$B$3,FALSE),'UT1'!$AC$31="Forcée",'UT1'!$X$31&lt;&gt;"",'UT1'!$AA$31&lt;&gt;""),'UT1'!$E$31,"")</f>
        <v/>
      </c>
      <c r="H103" s="148" t="str">
        <f>IF(OR(IFERROR('UT1'!$W$31&gt;=$B$3,FALSE),'UT1'!$AC$31="Forcée",'UT1'!$X$31&lt;&gt;"",'UT1'!$AA$31&lt;&gt;""),'UT1'!$H$31,"")</f>
        <v/>
      </c>
      <c r="I103" s="148" t="str">
        <f>IF(OR(IFERROR('UT1'!$W$31&gt;=$B$3,FALSE),'UT1'!$AC$31="Forcée",'UT1'!$X$31&lt;&gt;"",'UT1'!$AA$31&lt;&gt;""),'UT1'!$W$31,"")</f>
        <v/>
      </c>
      <c r="J103" s="148" t="str">
        <f t="shared" si="2"/>
        <v/>
      </c>
      <c r="K103" s="148" t="str">
        <f>IF(A103="","",IF('UT1'!$AC$31="Forcée","Forcée",IF('UT1'!$AC$31="Exclue","Exclue","Automatique")))</f>
        <v/>
      </c>
      <c r="L103" s="148" t="str">
        <f>IF(A103="","",IF('UT1'!$AC$31="Exclue","Exclu",IF('UT1'!$W$31&gt;=$B$3,"Actif - risque significatif",IF(AND('UT1'!$W$31&lt;$B$3,'UT1'!$AD$31="Oui"),"Maîtrisé / clôturable","Maîtrisé - à vérifier"))))</f>
        <v/>
      </c>
      <c r="M103" s="148" t="str">
        <f>IF(A103="","",IF('UT1'!$W$31&gt;=16,"P1 - Critique",IF('UT1'!$W$31&gt;=13,"P2 - Haute",IF('UT1'!$W$31&gt;=9,"P3 - Moyenne","P4 - Basse"))))</f>
        <v/>
      </c>
      <c r="N103" s="148"/>
      <c r="O103" s="148" t="str">
        <f>IF(A103="","",'UT1'!$X$31)</f>
        <v/>
      </c>
      <c r="P103" s="148"/>
      <c r="Q103" s="148"/>
      <c r="R103" s="148" t="str">
        <f>IF(A103="","",'UT1'!$Z$31)</f>
        <v/>
      </c>
      <c r="S103" s="148"/>
      <c r="T103" s="148"/>
      <c r="U103" s="149"/>
      <c r="V103" s="150"/>
      <c r="W103" s="150" t="str">
        <f>IF(A103="","",'UT1'!$Y$31)</f>
        <v/>
      </c>
      <c r="X103" s="148"/>
      <c r="Y103" s="148"/>
      <c r="Z103" s="148"/>
      <c r="AA103" s="148"/>
      <c r="AB103" s="148" t="str">
        <f>IF(A103="","",'UT1'!$AA$31)</f>
        <v/>
      </c>
      <c r="AC103" s="148" t="str">
        <f>IF(A103="","",'UT1'!$AD$31)</f>
        <v/>
      </c>
      <c r="AD103" s="150" t="str">
        <f>IF(A103="","",'UT1'!$AE$31)</f>
        <v/>
      </c>
      <c r="AE103" s="148"/>
      <c r="AF103" s="148"/>
      <c r="AG103" s="148" t="str">
        <f>IF(A103="","",'UT1'!$AF$31)</f>
        <v/>
      </c>
      <c r="AH103" s="151" t="str">
        <f t="shared" si="3"/>
        <v/>
      </c>
    </row>
    <row r="104" spans="1:34">
      <c r="A104" s="148" t="str">
        <f>IF(OR(IFERROR('UT1'!$W$32&gt;=$B$3,FALSE),'UT1'!$AC$32="Forcée",'UT1'!$X$32&lt;&gt;"",'UT1'!$AA$32&lt;&gt;""),"UT1-32","")</f>
        <v/>
      </c>
      <c r="B104" s="148" t="str">
        <f>IF(OR(IFERROR('UT1'!$W$32&gt;=$B$3,FALSE),'UT1'!$AC$32="Forcée",'UT1'!$X$32&lt;&gt;"",'UT1'!$AA$32&lt;&gt;""),"UT1","")</f>
        <v/>
      </c>
      <c r="C104" s="148" t="str">
        <f>IF(OR(IFERROR('UT1'!$W$32&gt;=$B$3,FALSE),'UT1'!$AC$32="Forcée",'UT1'!$X$32&lt;&gt;"",'UT1'!$AA$32&lt;&gt;""),'UT1'!$A$32,"")</f>
        <v/>
      </c>
      <c r="D104" s="148" t="str">
        <f>IF(OR(IFERROR('UT1'!$W$32&gt;=$B$3,FALSE),'UT1'!$AC$32="Forcée",'UT1'!$X$32&lt;&gt;"",'UT1'!$AA$32&lt;&gt;""),'UT1'!$B$32,"")</f>
        <v/>
      </c>
      <c r="E104" s="148" t="str">
        <f>IF(OR(IFERROR('UT1'!$W$32&gt;=$B$3,FALSE),'UT1'!$AC$32="Forcée",'UT1'!$X$32&lt;&gt;"",'UT1'!$AA$32&lt;&gt;""),'UT1'!$C$32,"")</f>
        <v/>
      </c>
      <c r="F104" s="148" t="str">
        <f>IF(OR(IFERROR('UT1'!$W$32&gt;=$B$3,FALSE),'UT1'!$AC$32="Forcée",'UT1'!$X$32&lt;&gt;"",'UT1'!$AA$32&lt;&gt;""),'UT1'!$D$32,"")</f>
        <v/>
      </c>
      <c r="G104" s="148" t="str">
        <f>IF(OR(IFERROR('UT1'!$W$32&gt;=$B$3,FALSE),'UT1'!$AC$32="Forcée",'UT1'!$X$32&lt;&gt;"",'UT1'!$AA$32&lt;&gt;""),'UT1'!$E$32,"")</f>
        <v/>
      </c>
      <c r="H104" s="148" t="str">
        <f>IF(OR(IFERROR('UT1'!$W$32&gt;=$B$3,FALSE),'UT1'!$AC$32="Forcée",'UT1'!$X$32&lt;&gt;"",'UT1'!$AA$32&lt;&gt;""),'UT1'!$H$32,"")</f>
        <v/>
      </c>
      <c r="I104" s="148" t="str">
        <f>IF(OR(IFERROR('UT1'!$W$32&gt;=$B$3,FALSE),'UT1'!$AC$32="Forcée",'UT1'!$X$32&lt;&gt;"",'UT1'!$AA$32&lt;&gt;""),'UT1'!$W$32,"")</f>
        <v/>
      </c>
      <c r="J104" s="148" t="str">
        <f t="shared" si="2"/>
        <v/>
      </c>
      <c r="K104" s="148" t="str">
        <f>IF(A104="","",IF('UT1'!$AC$32="Forcée","Forcée",IF('UT1'!$AC$32="Exclue","Exclue","Automatique")))</f>
        <v/>
      </c>
      <c r="L104" s="148" t="str">
        <f>IF(A104="","",IF('UT1'!$AC$32="Exclue","Exclu",IF('UT1'!$W$32&gt;=$B$3,"Actif - risque significatif",IF(AND('UT1'!$W$32&lt;$B$3,'UT1'!$AD$32="Oui"),"Maîtrisé / clôturable","Maîtrisé - à vérifier"))))</f>
        <v/>
      </c>
      <c r="M104" s="148" t="str">
        <f>IF(A104="","",IF('UT1'!$W$32&gt;=16,"P1 - Critique",IF('UT1'!$W$32&gt;=13,"P2 - Haute",IF('UT1'!$W$32&gt;=9,"P3 - Moyenne","P4 - Basse"))))</f>
        <v/>
      </c>
      <c r="N104" s="148"/>
      <c r="O104" s="148" t="str">
        <f>IF(A104="","",'UT1'!$X$32)</f>
        <v/>
      </c>
      <c r="P104" s="148"/>
      <c r="Q104" s="148"/>
      <c r="R104" s="148" t="str">
        <f>IF(A104="","",'UT1'!$Z$32)</f>
        <v/>
      </c>
      <c r="S104" s="148"/>
      <c r="T104" s="148"/>
      <c r="U104" s="149"/>
      <c r="V104" s="150"/>
      <c r="W104" s="150" t="str">
        <f>IF(A104="","",'UT1'!$Y$32)</f>
        <v/>
      </c>
      <c r="X104" s="148"/>
      <c r="Y104" s="148"/>
      <c r="Z104" s="148"/>
      <c r="AA104" s="148"/>
      <c r="AB104" s="148" t="str">
        <f>IF(A104="","",'UT1'!$AA$32)</f>
        <v/>
      </c>
      <c r="AC104" s="148" t="str">
        <f>IF(A104="","",'UT1'!$AD$32)</f>
        <v/>
      </c>
      <c r="AD104" s="150" t="str">
        <f>IF(A104="","",'UT1'!$AE$32)</f>
        <v/>
      </c>
      <c r="AE104" s="148"/>
      <c r="AF104" s="148"/>
      <c r="AG104" s="148" t="str">
        <f>IF(A104="","",'UT1'!$AF$32)</f>
        <v/>
      </c>
      <c r="AH104" s="151" t="str">
        <f t="shared" si="3"/>
        <v/>
      </c>
    </row>
    <row r="105" spans="1:34">
      <c r="A105" s="148" t="str">
        <f>IF(OR(IFERROR('UT1'!$W$33&gt;=$B$3,FALSE),'UT1'!$AC$33="Forcée",'UT1'!$X$33&lt;&gt;"",'UT1'!$AA$33&lt;&gt;""),"UT1-33","")</f>
        <v/>
      </c>
      <c r="B105" s="148" t="str">
        <f>IF(OR(IFERROR('UT1'!$W$33&gt;=$B$3,FALSE),'UT1'!$AC$33="Forcée",'UT1'!$X$33&lt;&gt;"",'UT1'!$AA$33&lt;&gt;""),"UT1","")</f>
        <v/>
      </c>
      <c r="C105" s="148" t="str">
        <f>IF(OR(IFERROR('UT1'!$W$33&gt;=$B$3,FALSE),'UT1'!$AC$33="Forcée",'UT1'!$X$33&lt;&gt;"",'UT1'!$AA$33&lt;&gt;""),'UT1'!$A$33,"")</f>
        <v/>
      </c>
      <c r="D105" s="148" t="str">
        <f>IF(OR(IFERROR('UT1'!$W$33&gt;=$B$3,FALSE),'UT1'!$AC$33="Forcée",'UT1'!$X$33&lt;&gt;"",'UT1'!$AA$33&lt;&gt;""),'UT1'!$B$33,"")</f>
        <v/>
      </c>
      <c r="E105" s="148" t="str">
        <f>IF(OR(IFERROR('UT1'!$W$33&gt;=$B$3,FALSE),'UT1'!$AC$33="Forcée",'UT1'!$X$33&lt;&gt;"",'UT1'!$AA$33&lt;&gt;""),'UT1'!$C$33,"")</f>
        <v/>
      </c>
      <c r="F105" s="148" t="str">
        <f>IF(OR(IFERROR('UT1'!$W$33&gt;=$B$3,FALSE),'UT1'!$AC$33="Forcée",'UT1'!$X$33&lt;&gt;"",'UT1'!$AA$33&lt;&gt;""),'UT1'!$D$33,"")</f>
        <v/>
      </c>
      <c r="G105" s="148" t="str">
        <f>IF(OR(IFERROR('UT1'!$W$33&gt;=$B$3,FALSE),'UT1'!$AC$33="Forcée",'UT1'!$X$33&lt;&gt;"",'UT1'!$AA$33&lt;&gt;""),'UT1'!$E$33,"")</f>
        <v/>
      </c>
      <c r="H105" s="148" t="str">
        <f>IF(OR(IFERROR('UT1'!$W$33&gt;=$B$3,FALSE),'UT1'!$AC$33="Forcée",'UT1'!$X$33&lt;&gt;"",'UT1'!$AA$33&lt;&gt;""),'UT1'!$H$33,"")</f>
        <v/>
      </c>
      <c r="I105" s="148" t="str">
        <f>IF(OR(IFERROR('UT1'!$W$33&gt;=$B$3,FALSE),'UT1'!$AC$33="Forcée",'UT1'!$X$33&lt;&gt;"",'UT1'!$AA$33&lt;&gt;""),'UT1'!$W$33,"")</f>
        <v/>
      </c>
      <c r="J105" s="148" t="str">
        <f t="shared" si="2"/>
        <v/>
      </c>
      <c r="K105" s="148" t="str">
        <f>IF(A105="","",IF('UT1'!$AC$33="Forcée","Forcée",IF('UT1'!$AC$33="Exclue","Exclue","Automatique")))</f>
        <v/>
      </c>
      <c r="L105" s="148" t="str">
        <f>IF(A105="","",IF('UT1'!$AC$33="Exclue","Exclu",IF('UT1'!$W$33&gt;=$B$3,"Actif - risque significatif",IF(AND('UT1'!$W$33&lt;$B$3,'UT1'!$AD$33="Oui"),"Maîtrisé / clôturable","Maîtrisé - à vérifier"))))</f>
        <v/>
      </c>
      <c r="M105" s="148" t="str">
        <f>IF(A105="","",IF('UT1'!$W$33&gt;=16,"P1 - Critique",IF('UT1'!$W$33&gt;=13,"P2 - Haute",IF('UT1'!$W$33&gt;=9,"P3 - Moyenne","P4 - Basse"))))</f>
        <v/>
      </c>
      <c r="N105" s="148"/>
      <c r="O105" s="148" t="str">
        <f>IF(A105="","",'UT1'!$X$33)</f>
        <v/>
      </c>
      <c r="P105" s="148"/>
      <c r="Q105" s="148"/>
      <c r="R105" s="148" t="str">
        <f>IF(A105="","",'UT1'!$Z$33)</f>
        <v/>
      </c>
      <c r="S105" s="148"/>
      <c r="T105" s="148"/>
      <c r="U105" s="149"/>
      <c r="V105" s="150"/>
      <c r="W105" s="150" t="str">
        <f>IF(A105="","",'UT1'!$Y$33)</f>
        <v/>
      </c>
      <c r="X105" s="148"/>
      <c r="Y105" s="148"/>
      <c r="Z105" s="148"/>
      <c r="AA105" s="148"/>
      <c r="AB105" s="148" t="str">
        <f>IF(A105="","",'UT1'!$AA$33)</f>
        <v/>
      </c>
      <c r="AC105" s="148" t="str">
        <f>IF(A105="","",'UT1'!$AD$33)</f>
        <v/>
      </c>
      <c r="AD105" s="150" t="str">
        <f>IF(A105="","",'UT1'!$AE$33)</f>
        <v/>
      </c>
      <c r="AE105" s="148"/>
      <c r="AF105" s="148"/>
      <c r="AG105" s="148" t="str">
        <f>IF(A105="","",'UT1'!$AF$33)</f>
        <v/>
      </c>
      <c r="AH105" s="151" t="str">
        <f t="shared" si="3"/>
        <v/>
      </c>
    </row>
    <row r="106" spans="1:34">
      <c r="A106" s="148" t="str">
        <f>IF(OR(IFERROR('UT1'!$W$34&gt;=$B$3,FALSE),'UT1'!$AC$34="Forcée",'UT1'!$X$34&lt;&gt;"",'UT1'!$AA$34&lt;&gt;""),"UT1-34","")</f>
        <v/>
      </c>
      <c r="B106" s="148" t="str">
        <f>IF(OR(IFERROR('UT1'!$W$34&gt;=$B$3,FALSE),'UT1'!$AC$34="Forcée",'UT1'!$X$34&lt;&gt;"",'UT1'!$AA$34&lt;&gt;""),"UT1","")</f>
        <v/>
      </c>
      <c r="C106" s="148" t="str">
        <f>IF(OR(IFERROR('UT1'!$W$34&gt;=$B$3,FALSE),'UT1'!$AC$34="Forcée",'UT1'!$X$34&lt;&gt;"",'UT1'!$AA$34&lt;&gt;""),'UT1'!$A$34,"")</f>
        <v/>
      </c>
      <c r="D106" s="148" t="str">
        <f>IF(OR(IFERROR('UT1'!$W$34&gt;=$B$3,FALSE),'UT1'!$AC$34="Forcée",'UT1'!$X$34&lt;&gt;"",'UT1'!$AA$34&lt;&gt;""),'UT1'!$B$34,"")</f>
        <v/>
      </c>
      <c r="E106" s="148" t="str">
        <f>IF(OR(IFERROR('UT1'!$W$34&gt;=$B$3,FALSE),'UT1'!$AC$34="Forcée",'UT1'!$X$34&lt;&gt;"",'UT1'!$AA$34&lt;&gt;""),'UT1'!$C$34,"")</f>
        <v/>
      </c>
      <c r="F106" s="148" t="str">
        <f>IF(OR(IFERROR('UT1'!$W$34&gt;=$B$3,FALSE),'UT1'!$AC$34="Forcée",'UT1'!$X$34&lt;&gt;"",'UT1'!$AA$34&lt;&gt;""),'UT1'!$D$34,"")</f>
        <v/>
      </c>
      <c r="G106" s="148" t="str">
        <f>IF(OR(IFERROR('UT1'!$W$34&gt;=$B$3,FALSE),'UT1'!$AC$34="Forcée",'UT1'!$X$34&lt;&gt;"",'UT1'!$AA$34&lt;&gt;""),'UT1'!$E$34,"")</f>
        <v/>
      </c>
      <c r="H106" s="148" t="str">
        <f>IF(OR(IFERROR('UT1'!$W$34&gt;=$B$3,FALSE),'UT1'!$AC$34="Forcée",'UT1'!$X$34&lt;&gt;"",'UT1'!$AA$34&lt;&gt;""),'UT1'!$H$34,"")</f>
        <v/>
      </c>
      <c r="I106" s="148" t="str">
        <f>IF(OR(IFERROR('UT1'!$W$34&gt;=$B$3,FALSE),'UT1'!$AC$34="Forcée",'UT1'!$X$34&lt;&gt;"",'UT1'!$AA$34&lt;&gt;""),'UT1'!$W$34,"")</f>
        <v/>
      </c>
      <c r="J106" s="148" t="str">
        <f t="shared" si="2"/>
        <v/>
      </c>
      <c r="K106" s="148" t="str">
        <f>IF(A106="","",IF('UT1'!$AC$34="Forcée","Forcée",IF('UT1'!$AC$34="Exclue","Exclue","Automatique")))</f>
        <v/>
      </c>
      <c r="L106" s="148" t="str">
        <f>IF(A106="","",IF('UT1'!$AC$34="Exclue","Exclu",IF('UT1'!$W$34&gt;=$B$3,"Actif - risque significatif",IF(AND('UT1'!$W$34&lt;$B$3,'UT1'!$AD$34="Oui"),"Maîtrisé / clôturable","Maîtrisé - à vérifier"))))</f>
        <v/>
      </c>
      <c r="M106" s="148" t="str">
        <f>IF(A106="","",IF('UT1'!$W$34&gt;=16,"P1 - Critique",IF('UT1'!$W$34&gt;=13,"P2 - Haute",IF('UT1'!$W$34&gt;=9,"P3 - Moyenne","P4 - Basse"))))</f>
        <v/>
      </c>
      <c r="N106" s="148"/>
      <c r="O106" s="148" t="str">
        <f>IF(A106="","",'UT1'!$X$34)</f>
        <v/>
      </c>
      <c r="P106" s="148"/>
      <c r="Q106" s="148"/>
      <c r="R106" s="148" t="str">
        <f>IF(A106="","",'UT1'!$Z$34)</f>
        <v/>
      </c>
      <c r="S106" s="148"/>
      <c r="T106" s="148"/>
      <c r="U106" s="149"/>
      <c r="V106" s="150"/>
      <c r="W106" s="150" t="str">
        <f>IF(A106="","",'UT1'!$Y$34)</f>
        <v/>
      </c>
      <c r="X106" s="148"/>
      <c r="Y106" s="148"/>
      <c r="Z106" s="148"/>
      <c r="AA106" s="148"/>
      <c r="AB106" s="148" t="str">
        <f>IF(A106="","",'UT1'!$AA$34)</f>
        <v/>
      </c>
      <c r="AC106" s="148" t="str">
        <f>IF(A106="","",'UT1'!$AD$34)</f>
        <v/>
      </c>
      <c r="AD106" s="150" t="str">
        <f>IF(A106="","",'UT1'!$AE$34)</f>
        <v/>
      </c>
      <c r="AE106" s="148"/>
      <c r="AF106" s="148"/>
      <c r="AG106" s="148" t="str">
        <f>IF(A106="","",'UT1'!$AF$34)</f>
        <v/>
      </c>
      <c r="AH106" s="151" t="str">
        <f t="shared" si="3"/>
        <v/>
      </c>
    </row>
    <row r="107" spans="1:34">
      <c r="A107" s="148" t="str">
        <f>IF(OR(IFERROR('UT1'!$W$35&gt;=$B$3,FALSE),'UT1'!$AC$35="Forcée",'UT1'!$X$35&lt;&gt;"",'UT1'!$AA$35&lt;&gt;""),"UT1-35","")</f>
        <v/>
      </c>
      <c r="B107" s="148" t="str">
        <f>IF(OR(IFERROR('UT1'!$W$35&gt;=$B$3,FALSE),'UT1'!$AC$35="Forcée",'UT1'!$X$35&lt;&gt;"",'UT1'!$AA$35&lt;&gt;""),"UT1","")</f>
        <v/>
      </c>
      <c r="C107" s="148" t="str">
        <f>IF(OR(IFERROR('UT1'!$W$35&gt;=$B$3,FALSE),'UT1'!$AC$35="Forcée",'UT1'!$X$35&lt;&gt;"",'UT1'!$AA$35&lt;&gt;""),'UT1'!$A$35,"")</f>
        <v/>
      </c>
      <c r="D107" s="148" t="str">
        <f>IF(OR(IFERROR('UT1'!$W$35&gt;=$B$3,FALSE),'UT1'!$AC$35="Forcée",'UT1'!$X$35&lt;&gt;"",'UT1'!$AA$35&lt;&gt;""),'UT1'!$B$35,"")</f>
        <v/>
      </c>
      <c r="E107" s="148" t="str">
        <f>IF(OR(IFERROR('UT1'!$W$35&gt;=$B$3,FALSE),'UT1'!$AC$35="Forcée",'UT1'!$X$35&lt;&gt;"",'UT1'!$AA$35&lt;&gt;""),'UT1'!$C$35,"")</f>
        <v/>
      </c>
      <c r="F107" s="148" t="str">
        <f>IF(OR(IFERROR('UT1'!$W$35&gt;=$B$3,FALSE),'UT1'!$AC$35="Forcée",'UT1'!$X$35&lt;&gt;"",'UT1'!$AA$35&lt;&gt;""),'UT1'!$D$35,"")</f>
        <v/>
      </c>
      <c r="G107" s="148" t="str">
        <f>IF(OR(IFERROR('UT1'!$W$35&gt;=$B$3,FALSE),'UT1'!$AC$35="Forcée",'UT1'!$X$35&lt;&gt;"",'UT1'!$AA$35&lt;&gt;""),'UT1'!$E$35,"")</f>
        <v/>
      </c>
      <c r="H107" s="148" t="str">
        <f>IF(OR(IFERROR('UT1'!$W$35&gt;=$B$3,FALSE),'UT1'!$AC$35="Forcée",'UT1'!$X$35&lt;&gt;"",'UT1'!$AA$35&lt;&gt;""),'UT1'!$H$35,"")</f>
        <v/>
      </c>
      <c r="I107" s="148" t="str">
        <f>IF(OR(IFERROR('UT1'!$W$35&gt;=$B$3,FALSE),'UT1'!$AC$35="Forcée",'UT1'!$X$35&lt;&gt;"",'UT1'!$AA$35&lt;&gt;""),'UT1'!$W$35,"")</f>
        <v/>
      </c>
      <c r="J107" s="148" t="str">
        <f t="shared" si="2"/>
        <v/>
      </c>
      <c r="K107" s="148" t="str">
        <f>IF(A107="","",IF('UT1'!$AC$35="Forcée","Forcée",IF('UT1'!$AC$35="Exclue","Exclue","Automatique")))</f>
        <v/>
      </c>
      <c r="L107" s="148" t="str">
        <f>IF(A107="","",IF('UT1'!$AC$35="Exclue","Exclu",IF('UT1'!$W$35&gt;=$B$3,"Actif - risque significatif",IF(AND('UT1'!$W$35&lt;$B$3,'UT1'!$AD$35="Oui"),"Maîtrisé / clôturable","Maîtrisé - à vérifier"))))</f>
        <v/>
      </c>
      <c r="M107" s="148" t="str">
        <f>IF(A107="","",IF('UT1'!$W$35&gt;=16,"P1 - Critique",IF('UT1'!$W$35&gt;=13,"P2 - Haute",IF('UT1'!$W$35&gt;=9,"P3 - Moyenne","P4 - Basse"))))</f>
        <v/>
      </c>
      <c r="N107" s="148"/>
      <c r="O107" s="148" t="str">
        <f>IF(A107="","",'UT1'!$X$35)</f>
        <v/>
      </c>
      <c r="P107" s="148"/>
      <c r="Q107" s="148"/>
      <c r="R107" s="148" t="str">
        <f>IF(A107="","",'UT1'!$Z$35)</f>
        <v/>
      </c>
      <c r="S107" s="148"/>
      <c r="T107" s="148"/>
      <c r="U107" s="149"/>
      <c r="V107" s="150"/>
      <c r="W107" s="150" t="str">
        <f>IF(A107="","",'UT1'!$Y$35)</f>
        <v/>
      </c>
      <c r="X107" s="148"/>
      <c r="Y107" s="148"/>
      <c r="Z107" s="148"/>
      <c r="AA107" s="148"/>
      <c r="AB107" s="148" t="str">
        <f>IF(A107="","",'UT1'!$AA$35)</f>
        <v/>
      </c>
      <c r="AC107" s="148" t="str">
        <f>IF(A107="","",'UT1'!$AD$35)</f>
        <v/>
      </c>
      <c r="AD107" s="150" t="str">
        <f>IF(A107="","",'UT1'!$AE$35)</f>
        <v/>
      </c>
      <c r="AE107" s="148"/>
      <c r="AF107" s="148"/>
      <c r="AG107" s="148" t="str">
        <f>IF(A107="","",'UT1'!$AF$35)</f>
        <v/>
      </c>
      <c r="AH107" s="151" t="str">
        <f t="shared" si="3"/>
        <v/>
      </c>
    </row>
    <row r="108" spans="1:34">
      <c r="A108" s="148" t="str">
        <f>IF(OR(IFERROR('UT1'!$W$36&gt;=$B$3,FALSE),'UT1'!$AC$36="Forcée",'UT1'!$X$36&lt;&gt;"",'UT1'!$AA$36&lt;&gt;""),"UT1-36","")</f>
        <v/>
      </c>
      <c r="B108" s="148" t="str">
        <f>IF(OR(IFERROR('UT1'!$W$36&gt;=$B$3,FALSE),'UT1'!$AC$36="Forcée",'UT1'!$X$36&lt;&gt;"",'UT1'!$AA$36&lt;&gt;""),"UT1","")</f>
        <v/>
      </c>
      <c r="C108" s="148" t="str">
        <f>IF(OR(IFERROR('UT1'!$W$36&gt;=$B$3,FALSE),'UT1'!$AC$36="Forcée",'UT1'!$X$36&lt;&gt;"",'UT1'!$AA$36&lt;&gt;""),'UT1'!$A$36,"")</f>
        <v/>
      </c>
      <c r="D108" s="148" t="str">
        <f>IF(OR(IFERROR('UT1'!$W$36&gt;=$B$3,FALSE),'UT1'!$AC$36="Forcée",'UT1'!$X$36&lt;&gt;"",'UT1'!$AA$36&lt;&gt;""),'UT1'!$B$36,"")</f>
        <v/>
      </c>
      <c r="E108" s="148" t="str">
        <f>IF(OR(IFERROR('UT1'!$W$36&gt;=$B$3,FALSE),'UT1'!$AC$36="Forcée",'UT1'!$X$36&lt;&gt;"",'UT1'!$AA$36&lt;&gt;""),'UT1'!$C$36,"")</f>
        <v/>
      </c>
      <c r="F108" s="148" t="str">
        <f>IF(OR(IFERROR('UT1'!$W$36&gt;=$B$3,FALSE),'UT1'!$AC$36="Forcée",'UT1'!$X$36&lt;&gt;"",'UT1'!$AA$36&lt;&gt;""),'UT1'!$D$36,"")</f>
        <v/>
      </c>
      <c r="G108" s="148" t="str">
        <f>IF(OR(IFERROR('UT1'!$W$36&gt;=$B$3,FALSE),'UT1'!$AC$36="Forcée",'UT1'!$X$36&lt;&gt;"",'UT1'!$AA$36&lt;&gt;""),'UT1'!$E$36,"")</f>
        <v/>
      </c>
      <c r="H108" s="148" t="str">
        <f>IF(OR(IFERROR('UT1'!$W$36&gt;=$B$3,FALSE),'UT1'!$AC$36="Forcée",'UT1'!$X$36&lt;&gt;"",'UT1'!$AA$36&lt;&gt;""),'UT1'!$H$36,"")</f>
        <v/>
      </c>
      <c r="I108" s="148" t="str">
        <f>IF(OR(IFERROR('UT1'!$W$36&gt;=$B$3,FALSE),'UT1'!$AC$36="Forcée",'UT1'!$X$36&lt;&gt;"",'UT1'!$AA$36&lt;&gt;""),'UT1'!$W$36,"")</f>
        <v/>
      </c>
      <c r="J108" s="148" t="str">
        <f t="shared" si="2"/>
        <v/>
      </c>
      <c r="K108" s="148" t="str">
        <f>IF(A108="","",IF('UT1'!$AC$36="Forcée","Forcée",IF('UT1'!$AC$36="Exclue","Exclue","Automatique")))</f>
        <v/>
      </c>
      <c r="L108" s="148" t="str">
        <f>IF(A108="","",IF('UT1'!$AC$36="Exclue","Exclu",IF('UT1'!$W$36&gt;=$B$3,"Actif - risque significatif",IF(AND('UT1'!$W$36&lt;$B$3,'UT1'!$AD$36="Oui"),"Maîtrisé / clôturable","Maîtrisé - à vérifier"))))</f>
        <v/>
      </c>
      <c r="M108" s="148" t="str">
        <f>IF(A108="","",IF('UT1'!$W$36&gt;=16,"P1 - Critique",IF('UT1'!$W$36&gt;=13,"P2 - Haute",IF('UT1'!$W$36&gt;=9,"P3 - Moyenne","P4 - Basse"))))</f>
        <v/>
      </c>
      <c r="N108" s="148"/>
      <c r="O108" s="148" t="str">
        <f>IF(A108="","",'UT1'!$X$36)</f>
        <v/>
      </c>
      <c r="P108" s="148"/>
      <c r="Q108" s="148"/>
      <c r="R108" s="148" t="str">
        <f>IF(A108="","",'UT1'!$Z$36)</f>
        <v/>
      </c>
      <c r="S108" s="148"/>
      <c r="T108" s="148"/>
      <c r="U108" s="149"/>
      <c r="V108" s="150"/>
      <c r="W108" s="150" t="str">
        <f>IF(A108="","",'UT1'!$Y$36)</f>
        <v/>
      </c>
      <c r="X108" s="148"/>
      <c r="Y108" s="148"/>
      <c r="Z108" s="148"/>
      <c r="AA108" s="148"/>
      <c r="AB108" s="148" t="str">
        <f>IF(A108="","",'UT1'!$AA$36)</f>
        <v/>
      </c>
      <c r="AC108" s="148" t="str">
        <f>IF(A108="","",'UT1'!$AD$36)</f>
        <v/>
      </c>
      <c r="AD108" s="150" t="str">
        <f>IF(A108="","",'UT1'!$AE$36)</f>
        <v/>
      </c>
      <c r="AE108" s="148"/>
      <c r="AF108" s="148"/>
      <c r="AG108" s="148" t="str">
        <f>IF(A108="","",'UT1'!$AF$36)</f>
        <v/>
      </c>
      <c r="AH108" s="151" t="str">
        <f t="shared" si="3"/>
        <v/>
      </c>
    </row>
    <row r="109" spans="1:34">
      <c r="A109" s="148" t="str">
        <f>IF(OR(IFERROR('UT1'!$W$37&gt;=$B$3,FALSE),'UT1'!$AC$37="Forcée",'UT1'!$X$37&lt;&gt;"",'UT1'!$AA$37&lt;&gt;""),"UT1-37","")</f>
        <v/>
      </c>
      <c r="B109" s="148" t="str">
        <f>IF(OR(IFERROR('UT1'!$W$37&gt;=$B$3,FALSE),'UT1'!$AC$37="Forcée",'UT1'!$X$37&lt;&gt;"",'UT1'!$AA$37&lt;&gt;""),"UT1","")</f>
        <v/>
      </c>
      <c r="C109" s="148" t="str">
        <f>IF(OR(IFERROR('UT1'!$W$37&gt;=$B$3,FALSE),'UT1'!$AC$37="Forcée",'UT1'!$X$37&lt;&gt;"",'UT1'!$AA$37&lt;&gt;""),'UT1'!$A$37,"")</f>
        <v/>
      </c>
      <c r="D109" s="148" t="str">
        <f>IF(OR(IFERROR('UT1'!$W$37&gt;=$B$3,FALSE),'UT1'!$AC$37="Forcée",'UT1'!$X$37&lt;&gt;"",'UT1'!$AA$37&lt;&gt;""),'UT1'!$B$37,"")</f>
        <v/>
      </c>
      <c r="E109" s="148" t="str">
        <f>IF(OR(IFERROR('UT1'!$W$37&gt;=$B$3,FALSE),'UT1'!$AC$37="Forcée",'UT1'!$X$37&lt;&gt;"",'UT1'!$AA$37&lt;&gt;""),'UT1'!$C$37,"")</f>
        <v/>
      </c>
      <c r="F109" s="148" t="str">
        <f>IF(OR(IFERROR('UT1'!$W$37&gt;=$B$3,FALSE),'UT1'!$AC$37="Forcée",'UT1'!$X$37&lt;&gt;"",'UT1'!$AA$37&lt;&gt;""),'UT1'!$D$37,"")</f>
        <v/>
      </c>
      <c r="G109" s="148" t="str">
        <f>IF(OR(IFERROR('UT1'!$W$37&gt;=$B$3,FALSE),'UT1'!$AC$37="Forcée",'UT1'!$X$37&lt;&gt;"",'UT1'!$AA$37&lt;&gt;""),'UT1'!$E$37,"")</f>
        <v/>
      </c>
      <c r="H109" s="148" t="str">
        <f>IF(OR(IFERROR('UT1'!$W$37&gt;=$B$3,FALSE),'UT1'!$AC$37="Forcée",'UT1'!$X$37&lt;&gt;"",'UT1'!$AA$37&lt;&gt;""),'UT1'!$H$37,"")</f>
        <v/>
      </c>
      <c r="I109" s="148" t="str">
        <f>IF(OR(IFERROR('UT1'!$W$37&gt;=$B$3,FALSE),'UT1'!$AC$37="Forcée",'UT1'!$X$37&lt;&gt;"",'UT1'!$AA$37&lt;&gt;""),'UT1'!$W$37,"")</f>
        <v/>
      </c>
      <c r="J109" s="148" t="str">
        <f t="shared" si="2"/>
        <v/>
      </c>
      <c r="K109" s="148" t="str">
        <f>IF(A109="","",IF('UT1'!$AC$37="Forcée","Forcée",IF('UT1'!$AC$37="Exclue","Exclue","Automatique")))</f>
        <v/>
      </c>
      <c r="L109" s="148" t="str">
        <f>IF(A109="","",IF('UT1'!$AC$37="Exclue","Exclu",IF('UT1'!$W$37&gt;=$B$3,"Actif - risque significatif",IF(AND('UT1'!$W$37&lt;$B$3,'UT1'!$AD$37="Oui"),"Maîtrisé / clôturable","Maîtrisé - à vérifier"))))</f>
        <v/>
      </c>
      <c r="M109" s="148" t="str">
        <f>IF(A109="","",IF('UT1'!$W$37&gt;=16,"P1 - Critique",IF('UT1'!$W$37&gt;=13,"P2 - Haute",IF('UT1'!$W$37&gt;=9,"P3 - Moyenne","P4 - Basse"))))</f>
        <v/>
      </c>
      <c r="N109" s="148"/>
      <c r="O109" s="148" t="str">
        <f>IF(A109="","",'UT1'!$X$37)</f>
        <v/>
      </c>
      <c r="P109" s="148"/>
      <c r="Q109" s="148"/>
      <c r="R109" s="148" t="str">
        <f>IF(A109="","",'UT1'!$Z$37)</f>
        <v/>
      </c>
      <c r="S109" s="148"/>
      <c r="T109" s="148"/>
      <c r="U109" s="149"/>
      <c r="V109" s="150"/>
      <c r="W109" s="150" t="str">
        <f>IF(A109="","",'UT1'!$Y$37)</f>
        <v/>
      </c>
      <c r="X109" s="148"/>
      <c r="Y109" s="148"/>
      <c r="Z109" s="148"/>
      <c r="AA109" s="148"/>
      <c r="AB109" s="148" t="str">
        <f>IF(A109="","",'UT1'!$AA$37)</f>
        <v/>
      </c>
      <c r="AC109" s="148" t="str">
        <f>IF(A109="","",'UT1'!$AD$37)</f>
        <v/>
      </c>
      <c r="AD109" s="150" t="str">
        <f>IF(A109="","",'UT1'!$AE$37)</f>
        <v/>
      </c>
      <c r="AE109" s="148"/>
      <c r="AF109" s="148"/>
      <c r="AG109" s="148" t="str">
        <f>IF(A109="","",'UT1'!$AF$37)</f>
        <v/>
      </c>
      <c r="AH109" s="151" t="str">
        <f t="shared" si="3"/>
        <v/>
      </c>
    </row>
    <row r="110" spans="1:34">
      <c r="A110" s="148" t="str">
        <f>IF(OR(IFERROR('UT1'!$W$38&gt;=$B$3,FALSE),'UT1'!$AC$38="Forcée",'UT1'!$X$38&lt;&gt;"",'UT1'!$AA$38&lt;&gt;""),"UT1-38","")</f>
        <v/>
      </c>
      <c r="B110" s="148" t="str">
        <f>IF(OR(IFERROR('UT1'!$W$38&gt;=$B$3,FALSE),'UT1'!$AC$38="Forcée",'UT1'!$X$38&lt;&gt;"",'UT1'!$AA$38&lt;&gt;""),"UT1","")</f>
        <v/>
      </c>
      <c r="C110" s="148" t="str">
        <f>IF(OR(IFERROR('UT1'!$W$38&gt;=$B$3,FALSE),'UT1'!$AC$38="Forcée",'UT1'!$X$38&lt;&gt;"",'UT1'!$AA$38&lt;&gt;""),'UT1'!$A$38,"")</f>
        <v/>
      </c>
      <c r="D110" s="148" t="str">
        <f>IF(OR(IFERROR('UT1'!$W$38&gt;=$B$3,FALSE),'UT1'!$AC$38="Forcée",'UT1'!$X$38&lt;&gt;"",'UT1'!$AA$38&lt;&gt;""),'UT1'!$B$38,"")</f>
        <v/>
      </c>
      <c r="E110" s="148" t="str">
        <f>IF(OR(IFERROR('UT1'!$W$38&gt;=$B$3,FALSE),'UT1'!$AC$38="Forcée",'UT1'!$X$38&lt;&gt;"",'UT1'!$AA$38&lt;&gt;""),'UT1'!$C$38,"")</f>
        <v/>
      </c>
      <c r="F110" s="148" t="str">
        <f>IF(OR(IFERROR('UT1'!$W$38&gt;=$B$3,FALSE),'UT1'!$AC$38="Forcée",'UT1'!$X$38&lt;&gt;"",'UT1'!$AA$38&lt;&gt;""),'UT1'!$D$38,"")</f>
        <v/>
      </c>
      <c r="G110" s="148" t="str">
        <f>IF(OR(IFERROR('UT1'!$W$38&gt;=$B$3,FALSE),'UT1'!$AC$38="Forcée",'UT1'!$X$38&lt;&gt;"",'UT1'!$AA$38&lt;&gt;""),'UT1'!$E$38,"")</f>
        <v/>
      </c>
      <c r="H110" s="148" t="str">
        <f>IF(OR(IFERROR('UT1'!$W$38&gt;=$B$3,FALSE),'UT1'!$AC$38="Forcée",'UT1'!$X$38&lt;&gt;"",'UT1'!$AA$38&lt;&gt;""),'UT1'!$H$38,"")</f>
        <v/>
      </c>
      <c r="I110" s="148" t="str">
        <f>IF(OR(IFERROR('UT1'!$W$38&gt;=$B$3,FALSE),'UT1'!$AC$38="Forcée",'UT1'!$X$38&lt;&gt;"",'UT1'!$AA$38&lt;&gt;""),'UT1'!$W$38,"")</f>
        <v/>
      </c>
      <c r="J110" s="148" t="str">
        <f t="shared" si="2"/>
        <v/>
      </c>
      <c r="K110" s="148" t="str">
        <f>IF(A110="","",IF('UT1'!$AC$38="Forcée","Forcée",IF('UT1'!$AC$38="Exclue","Exclue","Automatique")))</f>
        <v/>
      </c>
      <c r="L110" s="148" t="str">
        <f>IF(A110="","",IF('UT1'!$AC$38="Exclue","Exclu",IF('UT1'!$W$38&gt;=$B$3,"Actif - risque significatif",IF(AND('UT1'!$W$38&lt;$B$3,'UT1'!$AD$38="Oui"),"Maîtrisé / clôturable","Maîtrisé - à vérifier"))))</f>
        <v/>
      </c>
      <c r="M110" s="148" t="str">
        <f>IF(A110="","",IF('UT1'!$W$38&gt;=16,"P1 - Critique",IF('UT1'!$W$38&gt;=13,"P2 - Haute",IF('UT1'!$W$38&gt;=9,"P3 - Moyenne","P4 - Basse"))))</f>
        <v/>
      </c>
      <c r="N110" s="148"/>
      <c r="O110" s="148" t="str">
        <f>IF(A110="","",'UT1'!$X$38)</f>
        <v/>
      </c>
      <c r="P110" s="148"/>
      <c r="Q110" s="148"/>
      <c r="R110" s="148" t="str">
        <f>IF(A110="","",'UT1'!$Z$38)</f>
        <v/>
      </c>
      <c r="S110" s="148"/>
      <c r="T110" s="148"/>
      <c r="U110" s="149"/>
      <c r="V110" s="150"/>
      <c r="W110" s="150" t="str">
        <f>IF(A110="","",'UT1'!$Y$38)</f>
        <v/>
      </c>
      <c r="X110" s="148"/>
      <c r="Y110" s="148"/>
      <c r="Z110" s="148"/>
      <c r="AA110" s="148"/>
      <c r="AB110" s="148" t="str">
        <f>IF(A110="","",'UT1'!$AA$38)</f>
        <v/>
      </c>
      <c r="AC110" s="148" t="str">
        <f>IF(A110="","",'UT1'!$AD$38)</f>
        <v/>
      </c>
      <c r="AD110" s="150" t="str">
        <f>IF(A110="","",'UT1'!$AE$38)</f>
        <v/>
      </c>
      <c r="AE110" s="148"/>
      <c r="AF110" s="148"/>
      <c r="AG110" s="148" t="str">
        <f>IF(A110="","",'UT1'!$AF$38)</f>
        <v/>
      </c>
      <c r="AH110" s="151" t="str">
        <f t="shared" si="3"/>
        <v/>
      </c>
    </row>
    <row r="111" spans="1:34">
      <c r="A111" s="148" t="str">
        <f>IF(OR(IFERROR('UT1'!$W$39&gt;=$B$3,FALSE),'UT1'!$AC$39="Forcée",'UT1'!$X$39&lt;&gt;"",'UT1'!$AA$39&lt;&gt;""),"UT1-39","")</f>
        <v/>
      </c>
      <c r="B111" s="148" t="str">
        <f>IF(OR(IFERROR('UT1'!$W$39&gt;=$B$3,FALSE),'UT1'!$AC$39="Forcée",'UT1'!$X$39&lt;&gt;"",'UT1'!$AA$39&lt;&gt;""),"UT1","")</f>
        <v/>
      </c>
      <c r="C111" s="148" t="str">
        <f>IF(OR(IFERROR('UT1'!$W$39&gt;=$B$3,FALSE),'UT1'!$AC$39="Forcée",'UT1'!$X$39&lt;&gt;"",'UT1'!$AA$39&lt;&gt;""),'UT1'!$A$39,"")</f>
        <v/>
      </c>
      <c r="D111" s="148" t="str">
        <f>IF(OR(IFERROR('UT1'!$W$39&gt;=$B$3,FALSE),'UT1'!$AC$39="Forcée",'UT1'!$X$39&lt;&gt;"",'UT1'!$AA$39&lt;&gt;""),'UT1'!$B$39,"")</f>
        <v/>
      </c>
      <c r="E111" s="148" t="str">
        <f>IF(OR(IFERROR('UT1'!$W$39&gt;=$B$3,FALSE),'UT1'!$AC$39="Forcée",'UT1'!$X$39&lt;&gt;"",'UT1'!$AA$39&lt;&gt;""),'UT1'!$C$39,"")</f>
        <v/>
      </c>
      <c r="F111" s="148" t="str">
        <f>IF(OR(IFERROR('UT1'!$W$39&gt;=$B$3,FALSE),'UT1'!$AC$39="Forcée",'UT1'!$X$39&lt;&gt;"",'UT1'!$AA$39&lt;&gt;""),'UT1'!$D$39,"")</f>
        <v/>
      </c>
      <c r="G111" s="148" t="str">
        <f>IF(OR(IFERROR('UT1'!$W$39&gt;=$B$3,FALSE),'UT1'!$AC$39="Forcée",'UT1'!$X$39&lt;&gt;"",'UT1'!$AA$39&lt;&gt;""),'UT1'!$E$39,"")</f>
        <v/>
      </c>
      <c r="H111" s="148" t="str">
        <f>IF(OR(IFERROR('UT1'!$W$39&gt;=$B$3,FALSE),'UT1'!$AC$39="Forcée",'UT1'!$X$39&lt;&gt;"",'UT1'!$AA$39&lt;&gt;""),'UT1'!$H$39,"")</f>
        <v/>
      </c>
      <c r="I111" s="148" t="str">
        <f>IF(OR(IFERROR('UT1'!$W$39&gt;=$B$3,FALSE),'UT1'!$AC$39="Forcée",'UT1'!$X$39&lt;&gt;"",'UT1'!$AA$39&lt;&gt;""),'UT1'!$W$39,"")</f>
        <v/>
      </c>
      <c r="J111" s="148" t="str">
        <f t="shared" si="2"/>
        <v/>
      </c>
      <c r="K111" s="148" t="str">
        <f>IF(A111="","",IF('UT1'!$AC$39="Forcée","Forcée",IF('UT1'!$AC$39="Exclue","Exclue","Automatique")))</f>
        <v/>
      </c>
      <c r="L111" s="148" t="str">
        <f>IF(A111="","",IF('UT1'!$AC$39="Exclue","Exclu",IF('UT1'!$W$39&gt;=$B$3,"Actif - risque significatif",IF(AND('UT1'!$W$39&lt;$B$3,'UT1'!$AD$39="Oui"),"Maîtrisé / clôturable","Maîtrisé - à vérifier"))))</f>
        <v/>
      </c>
      <c r="M111" s="148" t="str">
        <f>IF(A111="","",IF('UT1'!$W$39&gt;=16,"P1 - Critique",IF('UT1'!$W$39&gt;=13,"P2 - Haute",IF('UT1'!$W$39&gt;=9,"P3 - Moyenne","P4 - Basse"))))</f>
        <v/>
      </c>
      <c r="N111" s="148"/>
      <c r="O111" s="148" t="str">
        <f>IF(A111="","",'UT1'!$X$39)</f>
        <v/>
      </c>
      <c r="P111" s="148"/>
      <c r="Q111" s="148"/>
      <c r="R111" s="148" t="str">
        <f>IF(A111="","",'UT1'!$Z$39)</f>
        <v/>
      </c>
      <c r="S111" s="148"/>
      <c r="T111" s="148"/>
      <c r="U111" s="149"/>
      <c r="V111" s="150"/>
      <c r="W111" s="150" t="str">
        <f>IF(A111="","",'UT1'!$Y$39)</f>
        <v/>
      </c>
      <c r="X111" s="148"/>
      <c r="Y111" s="148"/>
      <c r="Z111" s="148"/>
      <c r="AA111" s="148"/>
      <c r="AB111" s="148" t="str">
        <f>IF(A111="","",'UT1'!$AA$39)</f>
        <v/>
      </c>
      <c r="AC111" s="148" t="str">
        <f>IF(A111="","",'UT1'!$AD$39)</f>
        <v/>
      </c>
      <c r="AD111" s="150" t="str">
        <f>IF(A111="","",'UT1'!$AE$39)</f>
        <v/>
      </c>
      <c r="AE111" s="148"/>
      <c r="AF111" s="148"/>
      <c r="AG111" s="148" t="str">
        <f>IF(A111="","",'UT1'!$AF$39)</f>
        <v/>
      </c>
      <c r="AH111" s="151" t="str">
        <f t="shared" si="3"/>
        <v/>
      </c>
    </row>
    <row r="112" spans="1:34">
      <c r="A112" s="148" t="str">
        <f>IF(OR(IFERROR('UT1'!$W$40&gt;=$B$3,FALSE),'UT1'!$AC$40="Forcée",'UT1'!$X$40&lt;&gt;"",'UT1'!$AA$40&lt;&gt;""),"UT1-40","")</f>
        <v/>
      </c>
      <c r="B112" s="148" t="str">
        <f>IF(OR(IFERROR('UT1'!$W$40&gt;=$B$3,FALSE),'UT1'!$AC$40="Forcée",'UT1'!$X$40&lt;&gt;"",'UT1'!$AA$40&lt;&gt;""),"UT1","")</f>
        <v/>
      </c>
      <c r="C112" s="148" t="str">
        <f>IF(OR(IFERROR('UT1'!$W$40&gt;=$B$3,FALSE),'UT1'!$AC$40="Forcée",'UT1'!$X$40&lt;&gt;"",'UT1'!$AA$40&lt;&gt;""),'UT1'!$A$40,"")</f>
        <v/>
      </c>
      <c r="D112" s="148" t="str">
        <f>IF(OR(IFERROR('UT1'!$W$40&gt;=$B$3,FALSE),'UT1'!$AC$40="Forcée",'UT1'!$X$40&lt;&gt;"",'UT1'!$AA$40&lt;&gt;""),'UT1'!$B$40,"")</f>
        <v/>
      </c>
      <c r="E112" s="148" t="str">
        <f>IF(OR(IFERROR('UT1'!$W$40&gt;=$B$3,FALSE),'UT1'!$AC$40="Forcée",'UT1'!$X$40&lt;&gt;"",'UT1'!$AA$40&lt;&gt;""),'UT1'!$C$40,"")</f>
        <v/>
      </c>
      <c r="F112" s="148" t="str">
        <f>IF(OR(IFERROR('UT1'!$W$40&gt;=$B$3,FALSE),'UT1'!$AC$40="Forcée",'UT1'!$X$40&lt;&gt;"",'UT1'!$AA$40&lt;&gt;""),'UT1'!$D$40,"")</f>
        <v/>
      </c>
      <c r="G112" s="148" t="str">
        <f>IF(OR(IFERROR('UT1'!$W$40&gt;=$B$3,FALSE),'UT1'!$AC$40="Forcée",'UT1'!$X$40&lt;&gt;"",'UT1'!$AA$40&lt;&gt;""),'UT1'!$E$40,"")</f>
        <v/>
      </c>
      <c r="H112" s="148" t="str">
        <f>IF(OR(IFERROR('UT1'!$W$40&gt;=$B$3,FALSE),'UT1'!$AC$40="Forcée",'UT1'!$X$40&lt;&gt;"",'UT1'!$AA$40&lt;&gt;""),'UT1'!$H$40,"")</f>
        <v/>
      </c>
      <c r="I112" s="148" t="str">
        <f>IF(OR(IFERROR('UT1'!$W$40&gt;=$B$3,FALSE),'UT1'!$AC$40="Forcée",'UT1'!$X$40&lt;&gt;"",'UT1'!$AA$40&lt;&gt;""),'UT1'!$W$40,"")</f>
        <v/>
      </c>
      <c r="J112" s="148" t="str">
        <f t="shared" si="2"/>
        <v/>
      </c>
      <c r="K112" s="148" t="str">
        <f>IF(A112="","",IF('UT1'!$AC$40="Forcée","Forcée",IF('UT1'!$AC$40="Exclue","Exclue","Automatique")))</f>
        <v/>
      </c>
      <c r="L112" s="148" t="str">
        <f>IF(A112="","",IF('UT1'!$AC$40="Exclue","Exclu",IF('UT1'!$W$40&gt;=$B$3,"Actif - risque significatif",IF(AND('UT1'!$W$40&lt;$B$3,'UT1'!$AD$40="Oui"),"Maîtrisé / clôturable","Maîtrisé - à vérifier"))))</f>
        <v/>
      </c>
      <c r="M112" s="148" t="str">
        <f>IF(A112="","",IF('UT1'!$W$40&gt;=16,"P1 - Critique",IF('UT1'!$W$40&gt;=13,"P2 - Haute",IF('UT1'!$W$40&gt;=9,"P3 - Moyenne","P4 - Basse"))))</f>
        <v/>
      </c>
      <c r="N112" s="148"/>
      <c r="O112" s="148" t="str">
        <f>IF(A112="","",'UT1'!$X$40)</f>
        <v/>
      </c>
      <c r="P112" s="148"/>
      <c r="Q112" s="148"/>
      <c r="R112" s="148" t="str">
        <f>IF(A112="","",'UT1'!$Z$40)</f>
        <v/>
      </c>
      <c r="S112" s="148"/>
      <c r="T112" s="148"/>
      <c r="U112" s="149"/>
      <c r="V112" s="150"/>
      <c r="W112" s="150" t="str">
        <f>IF(A112="","",'UT1'!$Y$40)</f>
        <v/>
      </c>
      <c r="X112" s="148"/>
      <c r="Y112" s="148"/>
      <c r="Z112" s="148"/>
      <c r="AA112" s="148"/>
      <c r="AB112" s="148" t="str">
        <f>IF(A112="","",'UT1'!$AA$40)</f>
        <v/>
      </c>
      <c r="AC112" s="148" t="str">
        <f>IF(A112="","",'UT1'!$AD$40)</f>
        <v/>
      </c>
      <c r="AD112" s="150" t="str">
        <f>IF(A112="","",'UT1'!$AE$40)</f>
        <v/>
      </c>
      <c r="AE112" s="148"/>
      <c r="AF112" s="148"/>
      <c r="AG112" s="148" t="str">
        <f>IF(A112="","",'UT1'!$AF$40)</f>
        <v/>
      </c>
      <c r="AH112" s="151" t="str">
        <f t="shared" si="3"/>
        <v/>
      </c>
    </row>
    <row r="113" spans="1:34">
      <c r="A113" s="148" t="str">
        <f>IF(OR(IFERROR('UT1'!$W$41&gt;=$B$3,FALSE),'UT1'!$AC$41="Forcée",'UT1'!$X$41&lt;&gt;"",'UT1'!$AA$41&lt;&gt;""),"UT1-41","")</f>
        <v/>
      </c>
      <c r="B113" s="148" t="str">
        <f>IF(OR(IFERROR('UT1'!$W$41&gt;=$B$3,FALSE),'UT1'!$AC$41="Forcée",'UT1'!$X$41&lt;&gt;"",'UT1'!$AA$41&lt;&gt;""),"UT1","")</f>
        <v/>
      </c>
      <c r="C113" s="148" t="str">
        <f>IF(OR(IFERROR('UT1'!$W$41&gt;=$B$3,FALSE),'UT1'!$AC$41="Forcée",'UT1'!$X$41&lt;&gt;"",'UT1'!$AA$41&lt;&gt;""),'UT1'!$A$41,"")</f>
        <v/>
      </c>
      <c r="D113" s="148" t="str">
        <f>IF(OR(IFERROR('UT1'!$W$41&gt;=$B$3,FALSE),'UT1'!$AC$41="Forcée",'UT1'!$X$41&lt;&gt;"",'UT1'!$AA$41&lt;&gt;""),'UT1'!$B$41,"")</f>
        <v/>
      </c>
      <c r="E113" s="148" t="str">
        <f>IF(OR(IFERROR('UT1'!$W$41&gt;=$B$3,FALSE),'UT1'!$AC$41="Forcée",'UT1'!$X$41&lt;&gt;"",'UT1'!$AA$41&lt;&gt;""),'UT1'!$C$41,"")</f>
        <v/>
      </c>
      <c r="F113" s="148" t="str">
        <f>IF(OR(IFERROR('UT1'!$W$41&gt;=$B$3,FALSE),'UT1'!$AC$41="Forcée",'UT1'!$X$41&lt;&gt;"",'UT1'!$AA$41&lt;&gt;""),'UT1'!$D$41,"")</f>
        <v/>
      </c>
      <c r="G113" s="148" t="str">
        <f>IF(OR(IFERROR('UT1'!$W$41&gt;=$B$3,FALSE),'UT1'!$AC$41="Forcée",'UT1'!$X$41&lt;&gt;"",'UT1'!$AA$41&lt;&gt;""),'UT1'!$E$41,"")</f>
        <v/>
      </c>
      <c r="H113" s="148" t="str">
        <f>IF(OR(IFERROR('UT1'!$W$41&gt;=$B$3,FALSE),'UT1'!$AC$41="Forcée",'UT1'!$X$41&lt;&gt;"",'UT1'!$AA$41&lt;&gt;""),'UT1'!$H$41,"")</f>
        <v/>
      </c>
      <c r="I113" s="148" t="str">
        <f>IF(OR(IFERROR('UT1'!$W$41&gt;=$B$3,FALSE),'UT1'!$AC$41="Forcée",'UT1'!$X$41&lt;&gt;"",'UT1'!$AA$41&lt;&gt;""),'UT1'!$W$41,"")</f>
        <v/>
      </c>
      <c r="J113" s="148" t="str">
        <f t="shared" si="2"/>
        <v/>
      </c>
      <c r="K113" s="148" t="str">
        <f>IF(A113="","",IF('UT1'!$AC$41="Forcée","Forcée",IF('UT1'!$AC$41="Exclue","Exclue","Automatique")))</f>
        <v/>
      </c>
      <c r="L113" s="148" t="str">
        <f>IF(A113="","",IF('UT1'!$AC$41="Exclue","Exclu",IF('UT1'!$W$41&gt;=$B$3,"Actif - risque significatif",IF(AND('UT1'!$W$41&lt;$B$3,'UT1'!$AD$41="Oui"),"Maîtrisé / clôturable","Maîtrisé - à vérifier"))))</f>
        <v/>
      </c>
      <c r="M113" s="148" t="str">
        <f>IF(A113="","",IF('UT1'!$W$41&gt;=16,"P1 - Critique",IF('UT1'!$W$41&gt;=13,"P2 - Haute",IF('UT1'!$W$41&gt;=9,"P3 - Moyenne","P4 - Basse"))))</f>
        <v/>
      </c>
      <c r="N113" s="148"/>
      <c r="O113" s="148" t="str">
        <f>IF(A113="","",'UT1'!$X$41)</f>
        <v/>
      </c>
      <c r="P113" s="148"/>
      <c r="Q113" s="148"/>
      <c r="R113" s="148" t="str">
        <f>IF(A113="","",'UT1'!$Z$41)</f>
        <v/>
      </c>
      <c r="S113" s="148"/>
      <c r="T113" s="148"/>
      <c r="U113" s="149"/>
      <c r="V113" s="150"/>
      <c r="W113" s="150" t="str">
        <f>IF(A113="","",'UT1'!$Y$41)</f>
        <v/>
      </c>
      <c r="X113" s="148"/>
      <c r="Y113" s="148"/>
      <c r="Z113" s="148"/>
      <c r="AA113" s="148"/>
      <c r="AB113" s="148" t="str">
        <f>IF(A113="","",'UT1'!$AA$41)</f>
        <v/>
      </c>
      <c r="AC113" s="148" t="str">
        <f>IF(A113="","",'UT1'!$AD$41)</f>
        <v/>
      </c>
      <c r="AD113" s="150" t="str">
        <f>IF(A113="","",'UT1'!$AE$41)</f>
        <v/>
      </c>
      <c r="AE113" s="148"/>
      <c r="AF113" s="148"/>
      <c r="AG113" s="148" t="str">
        <f>IF(A113="","",'UT1'!$AF$41)</f>
        <v/>
      </c>
      <c r="AH113" s="151" t="str">
        <f t="shared" si="3"/>
        <v/>
      </c>
    </row>
    <row r="114" spans="1:34">
      <c r="A114" s="148" t="str">
        <f>IF(OR(IFERROR('UT1'!$W$42&gt;=$B$3,FALSE),'UT1'!$AC$42="Forcée",'UT1'!$X$42&lt;&gt;"",'UT1'!$AA$42&lt;&gt;""),"UT1-42","")</f>
        <v/>
      </c>
      <c r="B114" s="148" t="str">
        <f>IF(OR(IFERROR('UT1'!$W$42&gt;=$B$3,FALSE),'UT1'!$AC$42="Forcée",'UT1'!$X$42&lt;&gt;"",'UT1'!$AA$42&lt;&gt;""),"UT1","")</f>
        <v/>
      </c>
      <c r="C114" s="148" t="str">
        <f>IF(OR(IFERROR('UT1'!$W$42&gt;=$B$3,FALSE),'UT1'!$AC$42="Forcée",'UT1'!$X$42&lt;&gt;"",'UT1'!$AA$42&lt;&gt;""),'UT1'!$A$42,"")</f>
        <v/>
      </c>
      <c r="D114" s="148" t="str">
        <f>IF(OR(IFERROR('UT1'!$W$42&gt;=$B$3,FALSE),'UT1'!$AC$42="Forcée",'UT1'!$X$42&lt;&gt;"",'UT1'!$AA$42&lt;&gt;""),'UT1'!$B$42,"")</f>
        <v/>
      </c>
      <c r="E114" s="148" t="str">
        <f>IF(OR(IFERROR('UT1'!$W$42&gt;=$B$3,FALSE),'UT1'!$AC$42="Forcée",'UT1'!$X$42&lt;&gt;"",'UT1'!$AA$42&lt;&gt;""),'UT1'!$C$42,"")</f>
        <v/>
      </c>
      <c r="F114" s="148" t="str">
        <f>IF(OR(IFERROR('UT1'!$W$42&gt;=$B$3,FALSE),'UT1'!$AC$42="Forcée",'UT1'!$X$42&lt;&gt;"",'UT1'!$AA$42&lt;&gt;""),'UT1'!$D$42,"")</f>
        <v/>
      </c>
      <c r="G114" s="148" t="str">
        <f>IF(OR(IFERROR('UT1'!$W$42&gt;=$B$3,FALSE),'UT1'!$AC$42="Forcée",'UT1'!$X$42&lt;&gt;"",'UT1'!$AA$42&lt;&gt;""),'UT1'!$E$42,"")</f>
        <v/>
      </c>
      <c r="H114" s="148" t="str">
        <f>IF(OR(IFERROR('UT1'!$W$42&gt;=$B$3,FALSE),'UT1'!$AC$42="Forcée",'UT1'!$X$42&lt;&gt;"",'UT1'!$AA$42&lt;&gt;""),'UT1'!$H$42,"")</f>
        <v/>
      </c>
      <c r="I114" s="148" t="str">
        <f>IF(OR(IFERROR('UT1'!$W$42&gt;=$B$3,FALSE),'UT1'!$AC$42="Forcée",'UT1'!$X$42&lt;&gt;"",'UT1'!$AA$42&lt;&gt;""),'UT1'!$W$42,"")</f>
        <v/>
      </c>
      <c r="J114" s="148" t="str">
        <f t="shared" si="2"/>
        <v/>
      </c>
      <c r="K114" s="148" t="str">
        <f>IF(A114="","",IF('UT1'!$AC$42="Forcée","Forcée",IF('UT1'!$AC$42="Exclue","Exclue","Automatique")))</f>
        <v/>
      </c>
      <c r="L114" s="148" t="str">
        <f>IF(A114="","",IF('UT1'!$AC$42="Exclue","Exclu",IF('UT1'!$W$42&gt;=$B$3,"Actif - risque significatif",IF(AND('UT1'!$W$42&lt;$B$3,'UT1'!$AD$42="Oui"),"Maîtrisé / clôturable","Maîtrisé - à vérifier"))))</f>
        <v/>
      </c>
      <c r="M114" s="148" t="str">
        <f>IF(A114="","",IF('UT1'!$W$42&gt;=16,"P1 - Critique",IF('UT1'!$W$42&gt;=13,"P2 - Haute",IF('UT1'!$W$42&gt;=9,"P3 - Moyenne","P4 - Basse"))))</f>
        <v/>
      </c>
      <c r="N114" s="148"/>
      <c r="O114" s="148" t="str">
        <f>IF(A114="","",'UT1'!$X$42)</f>
        <v/>
      </c>
      <c r="P114" s="148"/>
      <c r="Q114" s="148"/>
      <c r="R114" s="148" t="str">
        <f>IF(A114="","",'UT1'!$Z$42)</f>
        <v/>
      </c>
      <c r="S114" s="148"/>
      <c r="T114" s="148"/>
      <c r="U114" s="149"/>
      <c r="V114" s="150"/>
      <c r="W114" s="150" t="str">
        <f>IF(A114="","",'UT1'!$Y$42)</f>
        <v/>
      </c>
      <c r="X114" s="148"/>
      <c r="Y114" s="148"/>
      <c r="Z114" s="148"/>
      <c r="AA114" s="148"/>
      <c r="AB114" s="148" t="str">
        <f>IF(A114="","",'UT1'!$AA$42)</f>
        <v/>
      </c>
      <c r="AC114" s="148" t="str">
        <f>IF(A114="","",'UT1'!$AD$42)</f>
        <v/>
      </c>
      <c r="AD114" s="150" t="str">
        <f>IF(A114="","",'UT1'!$AE$42)</f>
        <v/>
      </c>
      <c r="AE114" s="148"/>
      <c r="AF114" s="148"/>
      <c r="AG114" s="148" t="str">
        <f>IF(A114="","",'UT1'!$AF$42)</f>
        <v/>
      </c>
      <c r="AH114" s="151" t="str">
        <f t="shared" si="3"/>
        <v/>
      </c>
    </row>
    <row r="115" spans="1:34">
      <c r="A115" s="148" t="str">
        <f>IF(OR(IFERROR('UT1'!$W$43&gt;=$B$3,FALSE),'UT1'!$AC$43="Forcée",'UT1'!$X$43&lt;&gt;"",'UT1'!$AA$43&lt;&gt;""),"UT1-43","")</f>
        <v/>
      </c>
      <c r="B115" s="148" t="str">
        <f>IF(OR(IFERROR('UT1'!$W$43&gt;=$B$3,FALSE),'UT1'!$AC$43="Forcée",'UT1'!$X$43&lt;&gt;"",'UT1'!$AA$43&lt;&gt;""),"UT1","")</f>
        <v/>
      </c>
      <c r="C115" s="148" t="str">
        <f>IF(OR(IFERROR('UT1'!$W$43&gt;=$B$3,FALSE),'UT1'!$AC$43="Forcée",'UT1'!$X$43&lt;&gt;"",'UT1'!$AA$43&lt;&gt;""),'UT1'!$A$43,"")</f>
        <v/>
      </c>
      <c r="D115" s="148" t="str">
        <f>IF(OR(IFERROR('UT1'!$W$43&gt;=$B$3,FALSE),'UT1'!$AC$43="Forcée",'UT1'!$X$43&lt;&gt;"",'UT1'!$AA$43&lt;&gt;""),'UT1'!$B$43,"")</f>
        <v/>
      </c>
      <c r="E115" s="148" t="str">
        <f>IF(OR(IFERROR('UT1'!$W$43&gt;=$B$3,FALSE),'UT1'!$AC$43="Forcée",'UT1'!$X$43&lt;&gt;"",'UT1'!$AA$43&lt;&gt;""),'UT1'!$C$43,"")</f>
        <v/>
      </c>
      <c r="F115" s="148" t="str">
        <f>IF(OR(IFERROR('UT1'!$W$43&gt;=$B$3,FALSE),'UT1'!$AC$43="Forcée",'UT1'!$X$43&lt;&gt;"",'UT1'!$AA$43&lt;&gt;""),'UT1'!$D$43,"")</f>
        <v/>
      </c>
      <c r="G115" s="148" t="str">
        <f>IF(OR(IFERROR('UT1'!$W$43&gt;=$B$3,FALSE),'UT1'!$AC$43="Forcée",'UT1'!$X$43&lt;&gt;"",'UT1'!$AA$43&lt;&gt;""),'UT1'!$E$43,"")</f>
        <v/>
      </c>
      <c r="H115" s="148" t="str">
        <f>IF(OR(IFERROR('UT1'!$W$43&gt;=$B$3,FALSE),'UT1'!$AC$43="Forcée",'UT1'!$X$43&lt;&gt;"",'UT1'!$AA$43&lt;&gt;""),'UT1'!$H$43,"")</f>
        <v/>
      </c>
      <c r="I115" s="148" t="str">
        <f>IF(OR(IFERROR('UT1'!$W$43&gt;=$B$3,FALSE),'UT1'!$AC$43="Forcée",'UT1'!$X$43&lt;&gt;"",'UT1'!$AA$43&lt;&gt;""),'UT1'!$W$43,"")</f>
        <v/>
      </c>
      <c r="J115" s="148" t="str">
        <f t="shared" si="2"/>
        <v/>
      </c>
      <c r="K115" s="148" t="str">
        <f>IF(A115="","",IF('UT1'!$AC$43="Forcée","Forcée",IF('UT1'!$AC$43="Exclue","Exclue","Automatique")))</f>
        <v/>
      </c>
      <c r="L115" s="148" t="str">
        <f>IF(A115="","",IF('UT1'!$AC$43="Exclue","Exclu",IF('UT1'!$W$43&gt;=$B$3,"Actif - risque significatif",IF(AND('UT1'!$W$43&lt;$B$3,'UT1'!$AD$43="Oui"),"Maîtrisé / clôturable","Maîtrisé - à vérifier"))))</f>
        <v/>
      </c>
      <c r="M115" s="148" t="str">
        <f>IF(A115="","",IF('UT1'!$W$43&gt;=16,"P1 - Critique",IF('UT1'!$W$43&gt;=13,"P2 - Haute",IF('UT1'!$W$43&gt;=9,"P3 - Moyenne","P4 - Basse"))))</f>
        <v/>
      </c>
      <c r="N115" s="148"/>
      <c r="O115" s="148" t="str">
        <f>IF(A115="","",'UT1'!$X$43)</f>
        <v/>
      </c>
      <c r="P115" s="148"/>
      <c r="Q115" s="148"/>
      <c r="R115" s="148" t="str">
        <f>IF(A115="","",'UT1'!$Z$43)</f>
        <v/>
      </c>
      <c r="S115" s="148"/>
      <c r="T115" s="148"/>
      <c r="U115" s="149"/>
      <c r="V115" s="150"/>
      <c r="W115" s="150" t="str">
        <f>IF(A115="","",'UT1'!$Y$43)</f>
        <v/>
      </c>
      <c r="X115" s="148"/>
      <c r="Y115" s="148"/>
      <c r="Z115" s="148"/>
      <c r="AA115" s="148"/>
      <c r="AB115" s="148" t="str">
        <f>IF(A115="","",'UT1'!$AA$43)</f>
        <v/>
      </c>
      <c r="AC115" s="148" t="str">
        <f>IF(A115="","",'UT1'!$AD$43)</f>
        <v/>
      </c>
      <c r="AD115" s="150" t="str">
        <f>IF(A115="","",'UT1'!$AE$43)</f>
        <v/>
      </c>
      <c r="AE115" s="148"/>
      <c r="AF115" s="148"/>
      <c r="AG115" s="148" t="str">
        <f>IF(A115="","",'UT1'!$AF$43)</f>
        <v/>
      </c>
      <c r="AH115" s="151" t="str">
        <f t="shared" si="3"/>
        <v/>
      </c>
    </row>
    <row r="116" spans="1:34">
      <c r="A116" s="148" t="str">
        <f>IF(OR(IFERROR('UT1'!$W$44&gt;=$B$3,FALSE),'UT1'!$AC$44="Forcée",'UT1'!$X$44&lt;&gt;"",'UT1'!$AA$44&lt;&gt;""),"UT1-44","")</f>
        <v/>
      </c>
      <c r="B116" s="148" t="str">
        <f>IF(OR(IFERROR('UT1'!$W$44&gt;=$B$3,FALSE),'UT1'!$AC$44="Forcée",'UT1'!$X$44&lt;&gt;"",'UT1'!$AA$44&lt;&gt;""),"UT1","")</f>
        <v/>
      </c>
      <c r="C116" s="148" t="str">
        <f>IF(OR(IFERROR('UT1'!$W$44&gt;=$B$3,FALSE),'UT1'!$AC$44="Forcée",'UT1'!$X$44&lt;&gt;"",'UT1'!$AA$44&lt;&gt;""),'UT1'!$A$44,"")</f>
        <v/>
      </c>
      <c r="D116" s="148" t="str">
        <f>IF(OR(IFERROR('UT1'!$W$44&gt;=$B$3,FALSE),'UT1'!$AC$44="Forcée",'UT1'!$X$44&lt;&gt;"",'UT1'!$AA$44&lt;&gt;""),'UT1'!$B$44,"")</f>
        <v/>
      </c>
      <c r="E116" s="148" t="str">
        <f>IF(OR(IFERROR('UT1'!$W$44&gt;=$B$3,FALSE),'UT1'!$AC$44="Forcée",'UT1'!$X$44&lt;&gt;"",'UT1'!$AA$44&lt;&gt;""),'UT1'!$C$44,"")</f>
        <v/>
      </c>
      <c r="F116" s="148" t="str">
        <f>IF(OR(IFERROR('UT1'!$W$44&gt;=$B$3,FALSE),'UT1'!$AC$44="Forcée",'UT1'!$X$44&lt;&gt;"",'UT1'!$AA$44&lt;&gt;""),'UT1'!$D$44,"")</f>
        <v/>
      </c>
      <c r="G116" s="148" t="str">
        <f>IF(OR(IFERROR('UT1'!$W$44&gt;=$B$3,FALSE),'UT1'!$AC$44="Forcée",'UT1'!$X$44&lt;&gt;"",'UT1'!$AA$44&lt;&gt;""),'UT1'!$E$44,"")</f>
        <v/>
      </c>
      <c r="H116" s="148" t="str">
        <f>IF(OR(IFERROR('UT1'!$W$44&gt;=$B$3,FALSE),'UT1'!$AC$44="Forcée",'UT1'!$X$44&lt;&gt;"",'UT1'!$AA$44&lt;&gt;""),'UT1'!$H$44,"")</f>
        <v/>
      </c>
      <c r="I116" s="148" t="str">
        <f>IF(OR(IFERROR('UT1'!$W$44&gt;=$B$3,FALSE),'UT1'!$AC$44="Forcée",'UT1'!$X$44&lt;&gt;"",'UT1'!$AA$44&lt;&gt;""),'UT1'!$W$44,"")</f>
        <v/>
      </c>
      <c r="J116" s="148" t="str">
        <f t="shared" si="2"/>
        <v/>
      </c>
      <c r="K116" s="148" t="str">
        <f>IF(A116="","",IF('UT1'!$AC$44="Forcée","Forcée",IF('UT1'!$AC$44="Exclue","Exclue","Automatique")))</f>
        <v/>
      </c>
      <c r="L116" s="148" t="str">
        <f>IF(A116="","",IF('UT1'!$AC$44="Exclue","Exclu",IF('UT1'!$W$44&gt;=$B$3,"Actif - risque significatif",IF(AND('UT1'!$W$44&lt;$B$3,'UT1'!$AD$44="Oui"),"Maîtrisé / clôturable","Maîtrisé - à vérifier"))))</f>
        <v/>
      </c>
      <c r="M116" s="148" t="str">
        <f>IF(A116="","",IF('UT1'!$W$44&gt;=16,"P1 - Critique",IF('UT1'!$W$44&gt;=13,"P2 - Haute",IF('UT1'!$W$44&gt;=9,"P3 - Moyenne","P4 - Basse"))))</f>
        <v/>
      </c>
      <c r="N116" s="148"/>
      <c r="O116" s="148" t="str">
        <f>IF(A116="","",'UT1'!$X$44)</f>
        <v/>
      </c>
      <c r="P116" s="148"/>
      <c r="Q116" s="148"/>
      <c r="R116" s="148" t="str">
        <f>IF(A116="","",'UT1'!$Z$44)</f>
        <v/>
      </c>
      <c r="S116" s="148"/>
      <c r="T116" s="148"/>
      <c r="U116" s="149"/>
      <c r="V116" s="150"/>
      <c r="W116" s="150" t="str">
        <f>IF(A116="","",'UT1'!$Y$44)</f>
        <v/>
      </c>
      <c r="X116" s="148"/>
      <c r="Y116" s="148"/>
      <c r="Z116" s="148"/>
      <c r="AA116" s="148"/>
      <c r="AB116" s="148" t="str">
        <f>IF(A116="","",'UT1'!$AA$44)</f>
        <v/>
      </c>
      <c r="AC116" s="148" t="str">
        <f>IF(A116="","",'UT1'!$AD$44)</f>
        <v/>
      </c>
      <c r="AD116" s="150" t="str">
        <f>IF(A116="","",'UT1'!$AE$44)</f>
        <v/>
      </c>
      <c r="AE116" s="148"/>
      <c r="AF116" s="148"/>
      <c r="AG116" s="148" t="str">
        <f>IF(A116="","",'UT1'!$AF$44)</f>
        <v/>
      </c>
      <c r="AH116" s="151" t="str">
        <f t="shared" si="3"/>
        <v/>
      </c>
    </row>
    <row r="117" spans="1:34">
      <c r="A117" s="148" t="str">
        <f>IF(OR(IFERROR('UT1'!$W$45&gt;=$B$3,FALSE),'UT1'!$AC$45="Forcée",'UT1'!$X$45&lt;&gt;"",'UT1'!$AA$45&lt;&gt;""),"UT1-45","")</f>
        <v/>
      </c>
      <c r="B117" s="148" t="str">
        <f>IF(OR(IFERROR('UT1'!$W$45&gt;=$B$3,FALSE),'UT1'!$AC$45="Forcée",'UT1'!$X$45&lt;&gt;"",'UT1'!$AA$45&lt;&gt;""),"UT1","")</f>
        <v/>
      </c>
      <c r="C117" s="148" t="str">
        <f>IF(OR(IFERROR('UT1'!$W$45&gt;=$B$3,FALSE),'UT1'!$AC$45="Forcée",'UT1'!$X$45&lt;&gt;"",'UT1'!$AA$45&lt;&gt;""),'UT1'!$A$45,"")</f>
        <v/>
      </c>
      <c r="D117" s="148" t="str">
        <f>IF(OR(IFERROR('UT1'!$W$45&gt;=$B$3,FALSE),'UT1'!$AC$45="Forcée",'UT1'!$X$45&lt;&gt;"",'UT1'!$AA$45&lt;&gt;""),'UT1'!$B$45,"")</f>
        <v/>
      </c>
      <c r="E117" s="148" t="str">
        <f>IF(OR(IFERROR('UT1'!$W$45&gt;=$B$3,FALSE),'UT1'!$AC$45="Forcée",'UT1'!$X$45&lt;&gt;"",'UT1'!$AA$45&lt;&gt;""),'UT1'!$C$45,"")</f>
        <v/>
      </c>
      <c r="F117" s="148" t="str">
        <f>IF(OR(IFERROR('UT1'!$W$45&gt;=$B$3,FALSE),'UT1'!$AC$45="Forcée",'UT1'!$X$45&lt;&gt;"",'UT1'!$AA$45&lt;&gt;""),'UT1'!$D$45,"")</f>
        <v/>
      </c>
      <c r="G117" s="148" t="str">
        <f>IF(OR(IFERROR('UT1'!$W$45&gt;=$B$3,FALSE),'UT1'!$AC$45="Forcée",'UT1'!$X$45&lt;&gt;"",'UT1'!$AA$45&lt;&gt;""),'UT1'!$E$45,"")</f>
        <v/>
      </c>
      <c r="H117" s="148" t="str">
        <f>IF(OR(IFERROR('UT1'!$W$45&gt;=$B$3,FALSE),'UT1'!$AC$45="Forcée",'UT1'!$X$45&lt;&gt;"",'UT1'!$AA$45&lt;&gt;""),'UT1'!$H$45,"")</f>
        <v/>
      </c>
      <c r="I117" s="148" t="str">
        <f>IF(OR(IFERROR('UT1'!$W$45&gt;=$B$3,FALSE),'UT1'!$AC$45="Forcée",'UT1'!$X$45&lt;&gt;"",'UT1'!$AA$45&lt;&gt;""),'UT1'!$W$45,"")</f>
        <v/>
      </c>
      <c r="J117" s="148" t="str">
        <f t="shared" si="2"/>
        <v/>
      </c>
      <c r="K117" s="148" t="str">
        <f>IF(A117="","",IF('UT1'!$AC$45="Forcée","Forcée",IF('UT1'!$AC$45="Exclue","Exclue","Automatique")))</f>
        <v/>
      </c>
      <c r="L117" s="148" t="str">
        <f>IF(A117="","",IF('UT1'!$AC$45="Exclue","Exclu",IF('UT1'!$W$45&gt;=$B$3,"Actif - risque significatif",IF(AND('UT1'!$W$45&lt;$B$3,'UT1'!$AD$45="Oui"),"Maîtrisé / clôturable","Maîtrisé - à vérifier"))))</f>
        <v/>
      </c>
      <c r="M117" s="148" t="str">
        <f>IF(A117="","",IF('UT1'!$W$45&gt;=16,"P1 - Critique",IF('UT1'!$W$45&gt;=13,"P2 - Haute",IF('UT1'!$W$45&gt;=9,"P3 - Moyenne","P4 - Basse"))))</f>
        <v/>
      </c>
      <c r="N117" s="148"/>
      <c r="O117" s="148" t="str">
        <f>IF(A117="","",'UT1'!$X$45)</f>
        <v/>
      </c>
      <c r="P117" s="148"/>
      <c r="Q117" s="148"/>
      <c r="R117" s="148" t="str">
        <f>IF(A117="","",'UT1'!$Z$45)</f>
        <v/>
      </c>
      <c r="S117" s="148"/>
      <c r="T117" s="148"/>
      <c r="U117" s="149"/>
      <c r="V117" s="150"/>
      <c r="W117" s="150" t="str">
        <f>IF(A117="","",'UT1'!$Y$45)</f>
        <v/>
      </c>
      <c r="X117" s="148"/>
      <c r="Y117" s="148"/>
      <c r="Z117" s="148"/>
      <c r="AA117" s="148"/>
      <c r="AB117" s="148" t="str">
        <f>IF(A117="","",'UT1'!$AA$45)</f>
        <v/>
      </c>
      <c r="AC117" s="148" t="str">
        <f>IF(A117="","",'UT1'!$AD$45)</f>
        <v/>
      </c>
      <c r="AD117" s="150" t="str">
        <f>IF(A117="","",'UT1'!$AE$45)</f>
        <v/>
      </c>
      <c r="AE117" s="148"/>
      <c r="AF117" s="148"/>
      <c r="AG117" s="148" t="str">
        <f>IF(A117="","",'UT1'!$AF$45)</f>
        <v/>
      </c>
      <c r="AH117" s="151" t="str">
        <f t="shared" si="3"/>
        <v/>
      </c>
    </row>
    <row r="118" spans="1:34">
      <c r="A118" s="148" t="str">
        <f>IF(OR(IFERROR('UT1'!$W$46&gt;=$B$3,FALSE),'UT1'!$AC$46="Forcée",'UT1'!$X$46&lt;&gt;"",'UT1'!$AA$46&lt;&gt;""),"UT1-46","")</f>
        <v/>
      </c>
      <c r="B118" s="148" t="str">
        <f>IF(OR(IFERROR('UT1'!$W$46&gt;=$B$3,FALSE),'UT1'!$AC$46="Forcée",'UT1'!$X$46&lt;&gt;"",'UT1'!$AA$46&lt;&gt;""),"UT1","")</f>
        <v/>
      </c>
      <c r="C118" s="148" t="str">
        <f>IF(OR(IFERROR('UT1'!$W$46&gt;=$B$3,FALSE),'UT1'!$AC$46="Forcée",'UT1'!$X$46&lt;&gt;"",'UT1'!$AA$46&lt;&gt;""),'UT1'!$A$46,"")</f>
        <v/>
      </c>
      <c r="D118" s="148" t="str">
        <f>IF(OR(IFERROR('UT1'!$W$46&gt;=$B$3,FALSE),'UT1'!$AC$46="Forcée",'UT1'!$X$46&lt;&gt;"",'UT1'!$AA$46&lt;&gt;""),'UT1'!$B$46,"")</f>
        <v/>
      </c>
      <c r="E118" s="148" t="str">
        <f>IF(OR(IFERROR('UT1'!$W$46&gt;=$B$3,FALSE),'UT1'!$AC$46="Forcée",'UT1'!$X$46&lt;&gt;"",'UT1'!$AA$46&lt;&gt;""),'UT1'!$C$46,"")</f>
        <v/>
      </c>
      <c r="F118" s="148" t="str">
        <f>IF(OR(IFERROR('UT1'!$W$46&gt;=$B$3,FALSE),'UT1'!$AC$46="Forcée",'UT1'!$X$46&lt;&gt;"",'UT1'!$AA$46&lt;&gt;""),'UT1'!$D$46,"")</f>
        <v/>
      </c>
      <c r="G118" s="148" t="str">
        <f>IF(OR(IFERROR('UT1'!$W$46&gt;=$B$3,FALSE),'UT1'!$AC$46="Forcée",'UT1'!$X$46&lt;&gt;"",'UT1'!$AA$46&lt;&gt;""),'UT1'!$E$46,"")</f>
        <v/>
      </c>
      <c r="H118" s="148" t="str">
        <f>IF(OR(IFERROR('UT1'!$W$46&gt;=$B$3,FALSE),'UT1'!$AC$46="Forcée",'UT1'!$X$46&lt;&gt;"",'UT1'!$AA$46&lt;&gt;""),'UT1'!$H$46,"")</f>
        <v/>
      </c>
      <c r="I118" s="148" t="str">
        <f>IF(OR(IFERROR('UT1'!$W$46&gt;=$B$3,FALSE),'UT1'!$AC$46="Forcée",'UT1'!$X$46&lt;&gt;"",'UT1'!$AA$46&lt;&gt;""),'UT1'!$W$46,"")</f>
        <v/>
      </c>
      <c r="J118" s="148" t="str">
        <f t="shared" si="2"/>
        <v/>
      </c>
      <c r="K118" s="148" t="str">
        <f>IF(A118="","",IF('UT1'!$AC$46="Forcée","Forcée",IF('UT1'!$AC$46="Exclue","Exclue","Automatique")))</f>
        <v/>
      </c>
      <c r="L118" s="148" t="str">
        <f>IF(A118="","",IF('UT1'!$AC$46="Exclue","Exclu",IF('UT1'!$W$46&gt;=$B$3,"Actif - risque significatif",IF(AND('UT1'!$W$46&lt;$B$3,'UT1'!$AD$46="Oui"),"Maîtrisé / clôturable","Maîtrisé - à vérifier"))))</f>
        <v/>
      </c>
      <c r="M118" s="148" t="str">
        <f>IF(A118="","",IF('UT1'!$W$46&gt;=16,"P1 - Critique",IF('UT1'!$W$46&gt;=13,"P2 - Haute",IF('UT1'!$W$46&gt;=9,"P3 - Moyenne","P4 - Basse"))))</f>
        <v/>
      </c>
      <c r="N118" s="148"/>
      <c r="O118" s="148" t="str">
        <f>IF(A118="","",'UT1'!$X$46)</f>
        <v/>
      </c>
      <c r="P118" s="148"/>
      <c r="Q118" s="148"/>
      <c r="R118" s="148" t="str">
        <f>IF(A118="","",'UT1'!$Z$46)</f>
        <v/>
      </c>
      <c r="S118" s="148"/>
      <c r="T118" s="148"/>
      <c r="U118" s="149"/>
      <c r="V118" s="150"/>
      <c r="W118" s="150" t="str">
        <f>IF(A118="","",'UT1'!$Y$46)</f>
        <v/>
      </c>
      <c r="X118" s="148"/>
      <c r="Y118" s="148"/>
      <c r="Z118" s="148"/>
      <c r="AA118" s="148"/>
      <c r="AB118" s="148" t="str">
        <f>IF(A118="","",'UT1'!$AA$46)</f>
        <v/>
      </c>
      <c r="AC118" s="148" t="str">
        <f>IF(A118="","",'UT1'!$AD$46)</f>
        <v/>
      </c>
      <c r="AD118" s="150" t="str">
        <f>IF(A118="","",'UT1'!$AE$46)</f>
        <v/>
      </c>
      <c r="AE118" s="148"/>
      <c r="AF118" s="148"/>
      <c r="AG118" s="148" t="str">
        <f>IF(A118="","",'UT1'!$AF$46)</f>
        <v/>
      </c>
      <c r="AH118" s="151" t="str">
        <f t="shared" si="3"/>
        <v/>
      </c>
    </row>
    <row r="119" spans="1:34">
      <c r="A119" s="148" t="str">
        <f>IF(OR(IFERROR('UT1'!$W$47&gt;=$B$3,FALSE),'UT1'!$AC$47="Forcée",'UT1'!$X$47&lt;&gt;"",'UT1'!$AA$47&lt;&gt;""),"UT1-47","")</f>
        <v/>
      </c>
      <c r="B119" s="148" t="str">
        <f>IF(OR(IFERROR('UT1'!$W$47&gt;=$B$3,FALSE),'UT1'!$AC$47="Forcée",'UT1'!$X$47&lt;&gt;"",'UT1'!$AA$47&lt;&gt;""),"UT1","")</f>
        <v/>
      </c>
      <c r="C119" s="148" t="str">
        <f>IF(OR(IFERROR('UT1'!$W$47&gt;=$B$3,FALSE),'UT1'!$AC$47="Forcée",'UT1'!$X$47&lt;&gt;"",'UT1'!$AA$47&lt;&gt;""),'UT1'!$A$47,"")</f>
        <v/>
      </c>
      <c r="D119" s="148" t="str">
        <f>IF(OR(IFERROR('UT1'!$W$47&gt;=$B$3,FALSE),'UT1'!$AC$47="Forcée",'UT1'!$X$47&lt;&gt;"",'UT1'!$AA$47&lt;&gt;""),'UT1'!$B$47,"")</f>
        <v/>
      </c>
      <c r="E119" s="148" t="str">
        <f>IF(OR(IFERROR('UT1'!$W$47&gt;=$B$3,FALSE),'UT1'!$AC$47="Forcée",'UT1'!$X$47&lt;&gt;"",'UT1'!$AA$47&lt;&gt;""),'UT1'!$C$47,"")</f>
        <v/>
      </c>
      <c r="F119" s="148" t="str">
        <f>IF(OR(IFERROR('UT1'!$W$47&gt;=$B$3,FALSE),'UT1'!$AC$47="Forcée",'UT1'!$X$47&lt;&gt;"",'UT1'!$AA$47&lt;&gt;""),'UT1'!$D$47,"")</f>
        <v/>
      </c>
      <c r="G119" s="148" t="str">
        <f>IF(OR(IFERROR('UT1'!$W$47&gt;=$B$3,FALSE),'UT1'!$AC$47="Forcée",'UT1'!$X$47&lt;&gt;"",'UT1'!$AA$47&lt;&gt;""),'UT1'!$E$47,"")</f>
        <v/>
      </c>
      <c r="H119" s="148" t="str">
        <f>IF(OR(IFERROR('UT1'!$W$47&gt;=$B$3,FALSE),'UT1'!$AC$47="Forcée",'UT1'!$X$47&lt;&gt;"",'UT1'!$AA$47&lt;&gt;""),'UT1'!$H$47,"")</f>
        <v/>
      </c>
      <c r="I119" s="148" t="str">
        <f>IF(OR(IFERROR('UT1'!$W$47&gt;=$B$3,FALSE),'UT1'!$AC$47="Forcée",'UT1'!$X$47&lt;&gt;"",'UT1'!$AA$47&lt;&gt;""),'UT1'!$W$47,"")</f>
        <v/>
      </c>
      <c r="J119" s="148" t="str">
        <f t="shared" si="2"/>
        <v/>
      </c>
      <c r="K119" s="148" t="str">
        <f>IF(A119="","",IF('UT1'!$AC$47="Forcée","Forcée",IF('UT1'!$AC$47="Exclue","Exclue","Automatique")))</f>
        <v/>
      </c>
      <c r="L119" s="148" t="str">
        <f>IF(A119="","",IF('UT1'!$AC$47="Exclue","Exclu",IF('UT1'!$W$47&gt;=$B$3,"Actif - risque significatif",IF(AND('UT1'!$W$47&lt;$B$3,'UT1'!$AD$47="Oui"),"Maîtrisé / clôturable","Maîtrisé - à vérifier"))))</f>
        <v/>
      </c>
      <c r="M119" s="148" t="str">
        <f>IF(A119="","",IF('UT1'!$W$47&gt;=16,"P1 - Critique",IF('UT1'!$W$47&gt;=13,"P2 - Haute",IF('UT1'!$W$47&gt;=9,"P3 - Moyenne","P4 - Basse"))))</f>
        <v/>
      </c>
      <c r="N119" s="148"/>
      <c r="O119" s="148" t="str">
        <f>IF(A119="","",'UT1'!$X$47)</f>
        <v/>
      </c>
      <c r="P119" s="148"/>
      <c r="Q119" s="148"/>
      <c r="R119" s="148" t="str">
        <f>IF(A119="","",'UT1'!$Z$47)</f>
        <v/>
      </c>
      <c r="S119" s="148"/>
      <c r="T119" s="148"/>
      <c r="U119" s="149"/>
      <c r="V119" s="150"/>
      <c r="W119" s="150" t="str">
        <f>IF(A119="","",'UT1'!$Y$47)</f>
        <v/>
      </c>
      <c r="X119" s="148"/>
      <c r="Y119" s="148"/>
      <c r="Z119" s="148"/>
      <c r="AA119" s="148"/>
      <c r="AB119" s="148" t="str">
        <f>IF(A119="","",'UT1'!$AA$47)</f>
        <v/>
      </c>
      <c r="AC119" s="148" t="str">
        <f>IF(A119="","",'UT1'!$AD$47)</f>
        <v/>
      </c>
      <c r="AD119" s="150" t="str">
        <f>IF(A119="","",'UT1'!$AE$47)</f>
        <v/>
      </c>
      <c r="AE119" s="148"/>
      <c r="AF119" s="148"/>
      <c r="AG119" s="148" t="str">
        <f>IF(A119="","",'UT1'!$AF$47)</f>
        <v/>
      </c>
      <c r="AH119" s="151" t="str">
        <f t="shared" si="3"/>
        <v/>
      </c>
    </row>
    <row r="120" spans="1:34">
      <c r="A120" s="148" t="str">
        <f>IF(OR(IFERROR('UT1'!$W$48&gt;=$B$3,FALSE),'UT1'!$AC$48="Forcée",'UT1'!$X$48&lt;&gt;"",'UT1'!$AA$48&lt;&gt;""),"UT1-48","")</f>
        <v/>
      </c>
      <c r="B120" s="148" t="str">
        <f>IF(OR(IFERROR('UT1'!$W$48&gt;=$B$3,FALSE),'UT1'!$AC$48="Forcée",'UT1'!$X$48&lt;&gt;"",'UT1'!$AA$48&lt;&gt;""),"UT1","")</f>
        <v/>
      </c>
      <c r="C120" s="148" t="str">
        <f>IF(OR(IFERROR('UT1'!$W$48&gt;=$B$3,FALSE),'UT1'!$AC$48="Forcée",'UT1'!$X$48&lt;&gt;"",'UT1'!$AA$48&lt;&gt;""),'UT1'!$A$48,"")</f>
        <v/>
      </c>
      <c r="D120" s="148" t="str">
        <f>IF(OR(IFERROR('UT1'!$W$48&gt;=$B$3,FALSE),'UT1'!$AC$48="Forcée",'UT1'!$X$48&lt;&gt;"",'UT1'!$AA$48&lt;&gt;""),'UT1'!$B$48,"")</f>
        <v/>
      </c>
      <c r="E120" s="148" t="str">
        <f>IF(OR(IFERROR('UT1'!$W$48&gt;=$B$3,FALSE),'UT1'!$AC$48="Forcée",'UT1'!$X$48&lt;&gt;"",'UT1'!$AA$48&lt;&gt;""),'UT1'!$C$48,"")</f>
        <v/>
      </c>
      <c r="F120" s="148" t="str">
        <f>IF(OR(IFERROR('UT1'!$W$48&gt;=$B$3,FALSE),'UT1'!$AC$48="Forcée",'UT1'!$X$48&lt;&gt;"",'UT1'!$AA$48&lt;&gt;""),'UT1'!$D$48,"")</f>
        <v/>
      </c>
      <c r="G120" s="148" t="str">
        <f>IF(OR(IFERROR('UT1'!$W$48&gt;=$B$3,FALSE),'UT1'!$AC$48="Forcée",'UT1'!$X$48&lt;&gt;"",'UT1'!$AA$48&lt;&gt;""),'UT1'!$E$48,"")</f>
        <v/>
      </c>
      <c r="H120" s="148" t="str">
        <f>IF(OR(IFERROR('UT1'!$W$48&gt;=$B$3,FALSE),'UT1'!$AC$48="Forcée",'UT1'!$X$48&lt;&gt;"",'UT1'!$AA$48&lt;&gt;""),'UT1'!$H$48,"")</f>
        <v/>
      </c>
      <c r="I120" s="148" t="str">
        <f>IF(OR(IFERROR('UT1'!$W$48&gt;=$B$3,FALSE),'UT1'!$AC$48="Forcée",'UT1'!$X$48&lt;&gt;"",'UT1'!$AA$48&lt;&gt;""),'UT1'!$W$48,"")</f>
        <v/>
      </c>
      <c r="J120" s="148" t="str">
        <f t="shared" si="2"/>
        <v/>
      </c>
      <c r="K120" s="148" t="str">
        <f>IF(A120="","",IF('UT1'!$AC$48="Forcée","Forcée",IF('UT1'!$AC$48="Exclue","Exclue","Automatique")))</f>
        <v/>
      </c>
      <c r="L120" s="148" t="str">
        <f>IF(A120="","",IF('UT1'!$AC$48="Exclue","Exclu",IF('UT1'!$W$48&gt;=$B$3,"Actif - risque significatif",IF(AND('UT1'!$W$48&lt;$B$3,'UT1'!$AD$48="Oui"),"Maîtrisé / clôturable","Maîtrisé - à vérifier"))))</f>
        <v/>
      </c>
      <c r="M120" s="148" t="str">
        <f>IF(A120="","",IF('UT1'!$W$48&gt;=16,"P1 - Critique",IF('UT1'!$W$48&gt;=13,"P2 - Haute",IF('UT1'!$W$48&gt;=9,"P3 - Moyenne","P4 - Basse"))))</f>
        <v/>
      </c>
      <c r="N120" s="148"/>
      <c r="O120" s="148" t="str">
        <f>IF(A120="","",'UT1'!$X$48)</f>
        <v/>
      </c>
      <c r="P120" s="148"/>
      <c r="Q120" s="148"/>
      <c r="R120" s="148" t="str">
        <f>IF(A120="","",'UT1'!$Z$48)</f>
        <v/>
      </c>
      <c r="S120" s="148"/>
      <c r="T120" s="148"/>
      <c r="U120" s="149"/>
      <c r="V120" s="150"/>
      <c r="W120" s="150" t="str">
        <f>IF(A120="","",'UT1'!$Y$48)</f>
        <v/>
      </c>
      <c r="X120" s="148"/>
      <c r="Y120" s="148"/>
      <c r="Z120" s="148"/>
      <c r="AA120" s="148"/>
      <c r="AB120" s="148" t="str">
        <f>IF(A120="","",'UT1'!$AA$48)</f>
        <v/>
      </c>
      <c r="AC120" s="148" t="str">
        <f>IF(A120="","",'UT1'!$AD$48)</f>
        <v/>
      </c>
      <c r="AD120" s="150" t="str">
        <f>IF(A120="","",'UT1'!$AE$48)</f>
        <v/>
      </c>
      <c r="AE120" s="148"/>
      <c r="AF120" s="148"/>
      <c r="AG120" s="148" t="str">
        <f>IF(A120="","",'UT1'!$AF$48)</f>
        <v/>
      </c>
      <c r="AH120" s="151" t="str">
        <f t="shared" si="3"/>
        <v/>
      </c>
    </row>
    <row r="121" spans="1:34">
      <c r="A121" s="148" t="str">
        <f>IF(OR(IFERROR('UT1'!$W$49&gt;=$B$3,FALSE),'UT1'!$AC$49="Forcée",'UT1'!$X$49&lt;&gt;"",'UT1'!$AA$49&lt;&gt;""),"UT1-49","")</f>
        <v/>
      </c>
      <c r="B121" s="148" t="str">
        <f>IF(OR(IFERROR('UT1'!$W$49&gt;=$B$3,FALSE),'UT1'!$AC$49="Forcée",'UT1'!$X$49&lt;&gt;"",'UT1'!$AA$49&lt;&gt;""),"UT1","")</f>
        <v/>
      </c>
      <c r="C121" s="148" t="str">
        <f>IF(OR(IFERROR('UT1'!$W$49&gt;=$B$3,FALSE),'UT1'!$AC$49="Forcée",'UT1'!$X$49&lt;&gt;"",'UT1'!$AA$49&lt;&gt;""),'UT1'!$A$49,"")</f>
        <v/>
      </c>
      <c r="D121" s="148" t="str">
        <f>IF(OR(IFERROR('UT1'!$W$49&gt;=$B$3,FALSE),'UT1'!$AC$49="Forcée",'UT1'!$X$49&lt;&gt;"",'UT1'!$AA$49&lt;&gt;""),'UT1'!$B$49,"")</f>
        <v/>
      </c>
      <c r="E121" s="148" t="str">
        <f>IF(OR(IFERROR('UT1'!$W$49&gt;=$B$3,FALSE),'UT1'!$AC$49="Forcée",'UT1'!$X$49&lt;&gt;"",'UT1'!$AA$49&lt;&gt;""),'UT1'!$C$49,"")</f>
        <v/>
      </c>
      <c r="F121" s="148" t="str">
        <f>IF(OR(IFERROR('UT1'!$W$49&gt;=$B$3,FALSE),'UT1'!$AC$49="Forcée",'UT1'!$X$49&lt;&gt;"",'UT1'!$AA$49&lt;&gt;""),'UT1'!$D$49,"")</f>
        <v/>
      </c>
      <c r="G121" s="148" t="str">
        <f>IF(OR(IFERROR('UT1'!$W$49&gt;=$B$3,FALSE),'UT1'!$AC$49="Forcée",'UT1'!$X$49&lt;&gt;"",'UT1'!$AA$49&lt;&gt;""),'UT1'!$E$49,"")</f>
        <v/>
      </c>
      <c r="H121" s="148" t="str">
        <f>IF(OR(IFERROR('UT1'!$W$49&gt;=$B$3,FALSE),'UT1'!$AC$49="Forcée",'UT1'!$X$49&lt;&gt;"",'UT1'!$AA$49&lt;&gt;""),'UT1'!$H$49,"")</f>
        <v/>
      </c>
      <c r="I121" s="148" t="str">
        <f>IF(OR(IFERROR('UT1'!$W$49&gt;=$B$3,FALSE),'UT1'!$AC$49="Forcée",'UT1'!$X$49&lt;&gt;"",'UT1'!$AA$49&lt;&gt;""),'UT1'!$W$49,"")</f>
        <v/>
      </c>
      <c r="J121" s="148" t="str">
        <f t="shared" si="2"/>
        <v/>
      </c>
      <c r="K121" s="148" t="str">
        <f>IF(A121="","",IF('UT1'!$AC$49="Forcée","Forcée",IF('UT1'!$AC$49="Exclue","Exclue","Automatique")))</f>
        <v/>
      </c>
      <c r="L121" s="148" t="str">
        <f>IF(A121="","",IF('UT1'!$AC$49="Exclue","Exclu",IF('UT1'!$W$49&gt;=$B$3,"Actif - risque significatif",IF(AND('UT1'!$W$49&lt;$B$3,'UT1'!$AD$49="Oui"),"Maîtrisé / clôturable","Maîtrisé - à vérifier"))))</f>
        <v/>
      </c>
      <c r="M121" s="148" t="str">
        <f>IF(A121="","",IF('UT1'!$W$49&gt;=16,"P1 - Critique",IF('UT1'!$W$49&gt;=13,"P2 - Haute",IF('UT1'!$W$49&gt;=9,"P3 - Moyenne","P4 - Basse"))))</f>
        <v/>
      </c>
      <c r="N121" s="148"/>
      <c r="O121" s="148" t="str">
        <f>IF(A121="","",'UT1'!$X$49)</f>
        <v/>
      </c>
      <c r="P121" s="148"/>
      <c r="Q121" s="148"/>
      <c r="R121" s="148" t="str">
        <f>IF(A121="","",'UT1'!$Z$49)</f>
        <v/>
      </c>
      <c r="S121" s="148"/>
      <c r="T121" s="148"/>
      <c r="U121" s="149"/>
      <c r="V121" s="150"/>
      <c r="W121" s="150" t="str">
        <f>IF(A121="","",'UT1'!$Y$49)</f>
        <v/>
      </c>
      <c r="X121" s="148"/>
      <c r="Y121" s="148"/>
      <c r="Z121" s="148"/>
      <c r="AA121" s="148"/>
      <c r="AB121" s="148" t="str">
        <f>IF(A121="","",'UT1'!$AA$49)</f>
        <v/>
      </c>
      <c r="AC121" s="148" t="str">
        <f>IF(A121="","",'UT1'!$AD$49)</f>
        <v/>
      </c>
      <c r="AD121" s="150" t="str">
        <f>IF(A121="","",'UT1'!$AE$49)</f>
        <v/>
      </c>
      <c r="AE121" s="148"/>
      <c r="AF121" s="148"/>
      <c r="AG121" s="148" t="str">
        <f>IF(A121="","",'UT1'!$AF$49)</f>
        <v/>
      </c>
      <c r="AH121" s="151" t="str">
        <f t="shared" si="3"/>
        <v/>
      </c>
    </row>
    <row r="122" spans="1:34">
      <c r="A122" s="148" t="str">
        <f>IF(OR(IFERROR('UT1'!$W$50&gt;=$B$3,FALSE),'UT1'!$AC$50="Forcée",'UT1'!$X$50&lt;&gt;"",'UT1'!$AA$50&lt;&gt;""),"UT1-50","")</f>
        <v/>
      </c>
      <c r="B122" s="148" t="str">
        <f>IF(OR(IFERROR('UT1'!$W$50&gt;=$B$3,FALSE),'UT1'!$AC$50="Forcée",'UT1'!$X$50&lt;&gt;"",'UT1'!$AA$50&lt;&gt;""),"UT1","")</f>
        <v/>
      </c>
      <c r="C122" s="148" t="str">
        <f>IF(OR(IFERROR('UT1'!$W$50&gt;=$B$3,FALSE),'UT1'!$AC$50="Forcée",'UT1'!$X$50&lt;&gt;"",'UT1'!$AA$50&lt;&gt;""),'UT1'!$A$50,"")</f>
        <v/>
      </c>
      <c r="D122" s="148" t="str">
        <f>IF(OR(IFERROR('UT1'!$W$50&gt;=$B$3,FALSE),'UT1'!$AC$50="Forcée",'UT1'!$X$50&lt;&gt;"",'UT1'!$AA$50&lt;&gt;""),'UT1'!$B$50,"")</f>
        <v/>
      </c>
      <c r="E122" s="148" t="str">
        <f>IF(OR(IFERROR('UT1'!$W$50&gt;=$B$3,FALSE),'UT1'!$AC$50="Forcée",'UT1'!$X$50&lt;&gt;"",'UT1'!$AA$50&lt;&gt;""),'UT1'!$C$50,"")</f>
        <v/>
      </c>
      <c r="F122" s="148" t="str">
        <f>IF(OR(IFERROR('UT1'!$W$50&gt;=$B$3,FALSE),'UT1'!$AC$50="Forcée",'UT1'!$X$50&lt;&gt;"",'UT1'!$AA$50&lt;&gt;""),'UT1'!$D$50,"")</f>
        <v/>
      </c>
      <c r="G122" s="148" t="str">
        <f>IF(OR(IFERROR('UT1'!$W$50&gt;=$B$3,FALSE),'UT1'!$AC$50="Forcée",'UT1'!$X$50&lt;&gt;"",'UT1'!$AA$50&lt;&gt;""),'UT1'!$E$50,"")</f>
        <v/>
      </c>
      <c r="H122" s="148" t="str">
        <f>IF(OR(IFERROR('UT1'!$W$50&gt;=$B$3,FALSE),'UT1'!$AC$50="Forcée",'UT1'!$X$50&lt;&gt;"",'UT1'!$AA$50&lt;&gt;""),'UT1'!$H$50,"")</f>
        <v/>
      </c>
      <c r="I122" s="148" t="str">
        <f>IF(OR(IFERROR('UT1'!$W$50&gt;=$B$3,FALSE),'UT1'!$AC$50="Forcée",'UT1'!$X$50&lt;&gt;"",'UT1'!$AA$50&lt;&gt;""),'UT1'!$W$50,"")</f>
        <v/>
      </c>
      <c r="J122" s="148" t="str">
        <f t="shared" si="2"/>
        <v/>
      </c>
      <c r="K122" s="148" t="str">
        <f>IF(A122="","",IF('UT1'!$AC$50="Forcée","Forcée",IF('UT1'!$AC$50="Exclue","Exclue","Automatique")))</f>
        <v/>
      </c>
      <c r="L122" s="148" t="str">
        <f>IF(A122="","",IF('UT1'!$AC$50="Exclue","Exclu",IF('UT1'!$W$50&gt;=$B$3,"Actif - risque significatif",IF(AND('UT1'!$W$50&lt;$B$3,'UT1'!$AD$50="Oui"),"Maîtrisé / clôturable","Maîtrisé - à vérifier"))))</f>
        <v/>
      </c>
      <c r="M122" s="148" t="str">
        <f>IF(A122="","",IF('UT1'!$W$50&gt;=16,"P1 - Critique",IF('UT1'!$W$50&gt;=13,"P2 - Haute",IF('UT1'!$W$50&gt;=9,"P3 - Moyenne","P4 - Basse"))))</f>
        <v/>
      </c>
      <c r="N122" s="148"/>
      <c r="O122" s="148" t="str">
        <f>IF(A122="","",'UT1'!$X$50)</f>
        <v/>
      </c>
      <c r="P122" s="148"/>
      <c r="Q122" s="148"/>
      <c r="R122" s="148" t="str">
        <f>IF(A122="","",'UT1'!$Z$50)</f>
        <v/>
      </c>
      <c r="S122" s="148"/>
      <c r="T122" s="148"/>
      <c r="U122" s="149"/>
      <c r="V122" s="150"/>
      <c r="W122" s="150" t="str">
        <f>IF(A122="","",'UT1'!$Y$50)</f>
        <v/>
      </c>
      <c r="X122" s="148"/>
      <c r="Y122" s="148"/>
      <c r="Z122" s="148"/>
      <c r="AA122" s="148"/>
      <c r="AB122" s="148" t="str">
        <f>IF(A122="","",'UT1'!$AA$50)</f>
        <v/>
      </c>
      <c r="AC122" s="148" t="str">
        <f>IF(A122="","",'UT1'!$AD$50)</f>
        <v/>
      </c>
      <c r="AD122" s="150" t="str">
        <f>IF(A122="","",'UT1'!$AE$50)</f>
        <v/>
      </c>
      <c r="AE122" s="148"/>
      <c r="AF122" s="148"/>
      <c r="AG122" s="148" t="str">
        <f>IF(A122="","",'UT1'!$AF$50)</f>
        <v/>
      </c>
      <c r="AH122" s="151" t="str">
        <f t="shared" si="3"/>
        <v/>
      </c>
    </row>
    <row r="123" spans="1:34">
      <c r="A123" s="148" t="str">
        <f>IF(OR(IFERROR('UT1'!$W$51&gt;=$B$3,FALSE),'UT1'!$AC$51="Forcée",'UT1'!$X$51&lt;&gt;"",'UT1'!$AA$51&lt;&gt;""),"UT1-51","")</f>
        <v/>
      </c>
      <c r="B123" s="148" t="str">
        <f>IF(OR(IFERROR('UT1'!$W$51&gt;=$B$3,FALSE),'UT1'!$AC$51="Forcée",'UT1'!$X$51&lt;&gt;"",'UT1'!$AA$51&lt;&gt;""),"UT1","")</f>
        <v/>
      </c>
      <c r="C123" s="148" t="str">
        <f>IF(OR(IFERROR('UT1'!$W$51&gt;=$B$3,FALSE),'UT1'!$AC$51="Forcée",'UT1'!$X$51&lt;&gt;"",'UT1'!$AA$51&lt;&gt;""),'UT1'!$A$51,"")</f>
        <v/>
      </c>
      <c r="D123" s="148" t="str">
        <f>IF(OR(IFERROR('UT1'!$W$51&gt;=$B$3,FALSE),'UT1'!$AC$51="Forcée",'UT1'!$X$51&lt;&gt;"",'UT1'!$AA$51&lt;&gt;""),'UT1'!$B$51,"")</f>
        <v/>
      </c>
      <c r="E123" s="148" t="str">
        <f>IF(OR(IFERROR('UT1'!$W$51&gt;=$B$3,FALSE),'UT1'!$AC$51="Forcée",'UT1'!$X$51&lt;&gt;"",'UT1'!$AA$51&lt;&gt;""),'UT1'!$C$51,"")</f>
        <v/>
      </c>
      <c r="F123" s="148" t="str">
        <f>IF(OR(IFERROR('UT1'!$W$51&gt;=$B$3,FALSE),'UT1'!$AC$51="Forcée",'UT1'!$X$51&lt;&gt;"",'UT1'!$AA$51&lt;&gt;""),'UT1'!$D$51,"")</f>
        <v/>
      </c>
      <c r="G123" s="148" t="str">
        <f>IF(OR(IFERROR('UT1'!$W$51&gt;=$B$3,FALSE),'UT1'!$AC$51="Forcée",'UT1'!$X$51&lt;&gt;"",'UT1'!$AA$51&lt;&gt;""),'UT1'!$E$51,"")</f>
        <v/>
      </c>
      <c r="H123" s="148" t="str">
        <f>IF(OR(IFERROR('UT1'!$W$51&gt;=$B$3,FALSE),'UT1'!$AC$51="Forcée",'UT1'!$X$51&lt;&gt;"",'UT1'!$AA$51&lt;&gt;""),'UT1'!$H$51,"")</f>
        <v/>
      </c>
      <c r="I123" s="148" t="str">
        <f>IF(OR(IFERROR('UT1'!$W$51&gt;=$B$3,FALSE),'UT1'!$AC$51="Forcée",'UT1'!$X$51&lt;&gt;"",'UT1'!$AA$51&lt;&gt;""),'UT1'!$W$51,"")</f>
        <v/>
      </c>
      <c r="J123" s="148" t="str">
        <f t="shared" si="2"/>
        <v/>
      </c>
      <c r="K123" s="148" t="str">
        <f>IF(A123="","",IF('UT1'!$AC$51="Forcée","Forcée",IF('UT1'!$AC$51="Exclue","Exclue","Automatique")))</f>
        <v/>
      </c>
      <c r="L123" s="148" t="str">
        <f>IF(A123="","",IF('UT1'!$AC$51="Exclue","Exclu",IF('UT1'!$W$51&gt;=$B$3,"Actif - risque significatif",IF(AND('UT1'!$W$51&lt;$B$3,'UT1'!$AD$51="Oui"),"Maîtrisé / clôturable","Maîtrisé - à vérifier"))))</f>
        <v/>
      </c>
      <c r="M123" s="148" t="str">
        <f>IF(A123="","",IF('UT1'!$W$51&gt;=16,"P1 - Critique",IF('UT1'!$W$51&gt;=13,"P2 - Haute",IF('UT1'!$W$51&gt;=9,"P3 - Moyenne","P4 - Basse"))))</f>
        <v/>
      </c>
      <c r="N123" s="148"/>
      <c r="O123" s="148" t="str">
        <f>IF(A123="","",'UT1'!$X$51)</f>
        <v/>
      </c>
      <c r="P123" s="148"/>
      <c r="Q123" s="148"/>
      <c r="R123" s="148" t="str">
        <f>IF(A123="","",'UT1'!$Z$51)</f>
        <v/>
      </c>
      <c r="S123" s="148"/>
      <c r="T123" s="148"/>
      <c r="U123" s="149"/>
      <c r="V123" s="150"/>
      <c r="W123" s="150" t="str">
        <f>IF(A123="","",'UT1'!$Y$51)</f>
        <v/>
      </c>
      <c r="X123" s="148"/>
      <c r="Y123" s="148"/>
      <c r="Z123" s="148"/>
      <c r="AA123" s="148"/>
      <c r="AB123" s="148" t="str">
        <f>IF(A123="","",'UT1'!$AA$51)</f>
        <v/>
      </c>
      <c r="AC123" s="148" t="str">
        <f>IF(A123="","",'UT1'!$AD$51)</f>
        <v/>
      </c>
      <c r="AD123" s="150" t="str">
        <f>IF(A123="","",'UT1'!$AE$51)</f>
        <v/>
      </c>
      <c r="AE123" s="148"/>
      <c r="AF123" s="148"/>
      <c r="AG123" s="148" t="str">
        <f>IF(A123="","",'UT1'!$AF$51)</f>
        <v/>
      </c>
      <c r="AH123" s="151" t="str">
        <f t="shared" si="3"/>
        <v/>
      </c>
    </row>
    <row r="124" spans="1:34">
      <c r="A124" s="148" t="str">
        <f>IF(OR(IFERROR('UT1'!$W$52&gt;=$B$3,FALSE),'UT1'!$AC$52="Forcée",'UT1'!$X$52&lt;&gt;"",'UT1'!$AA$52&lt;&gt;""),"UT1-52","")</f>
        <v/>
      </c>
      <c r="B124" s="148" t="str">
        <f>IF(OR(IFERROR('UT1'!$W$52&gt;=$B$3,FALSE),'UT1'!$AC$52="Forcée",'UT1'!$X$52&lt;&gt;"",'UT1'!$AA$52&lt;&gt;""),"UT1","")</f>
        <v/>
      </c>
      <c r="C124" s="148" t="str">
        <f>IF(OR(IFERROR('UT1'!$W$52&gt;=$B$3,FALSE),'UT1'!$AC$52="Forcée",'UT1'!$X$52&lt;&gt;"",'UT1'!$AA$52&lt;&gt;""),'UT1'!$A$52,"")</f>
        <v/>
      </c>
      <c r="D124" s="148" t="str">
        <f>IF(OR(IFERROR('UT1'!$W$52&gt;=$B$3,FALSE),'UT1'!$AC$52="Forcée",'UT1'!$X$52&lt;&gt;"",'UT1'!$AA$52&lt;&gt;""),'UT1'!$B$52,"")</f>
        <v/>
      </c>
      <c r="E124" s="148" t="str">
        <f>IF(OR(IFERROR('UT1'!$W$52&gt;=$B$3,FALSE),'UT1'!$AC$52="Forcée",'UT1'!$X$52&lt;&gt;"",'UT1'!$AA$52&lt;&gt;""),'UT1'!$C$52,"")</f>
        <v/>
      </c>
      <c r="F124" s="148" t="str">
        <f>IF(OR(IFERROR('UT1'!$W$52&gt;=$B$3,FALSE),'UT1'!$AC$52="Forcée",'UT1'!$X$52&lt;&gt;"",'UT1'!$AA$52&lt;&gt;""),'UT1'!$D$52,"")</f>
        <v/>
      </c>
      <c r="G124" s="148" t="str">
        <f>IF(OR(IFERROR('UT1'!$W$52&gt;=$B$3,FALSE),'UT1'!$AC$52="Forcée",'UT1'!$X$52&lt;&gt;"",'UT1'!$AA$52&lt;&gt;""),'UT1'!$E$52,"")</f>
        <v/>
      </c>
      <c r="H124" s="148" t="str">
        <f>IF(OR(IFERROR('UT1'!$W$52&gt;=$B$3,FALSE),'UT1'!$AC$52="Forcée",'UT1'!$X$52&lt;&gt;"",'UT1'!$AA$52&lt;&gt;""),'UT1'!$H$52,"")</f>
        <v/>
      </c>
      <c r="I124" s="148" t="str">
        <f>IF(OR(IFERROR('UT1'!$W$52&gt;=$B$3,FALSE),'UT1'!$AC$52="Forcée",'UT1'!$X$52&lt;&gt;"",'UT1'!$AA$52&lt;&gt;""),'UT1'!$W$52,"")</f>
        <v/>
      </c>
      <c r="J124" s="148" t="str">
        <f t="shared" si="2"/>
        <v/>
      </c>
      <c r="K124" s="148" t="str">
        <f>IF(A124="","",IF('UT1'!$AC$52="Forcée","Forcée",IF('UT1'!$AC$52="Exclue","Exclue","Automatique")))</f>
        <v/>
      </c>
      <c r="L124" s="148" t="str">
        <f>IF(A124="","",IF('UT1'!$AC$52="Exclue","Exclu",IF('UT1'!$W$52&gt;=$B$3,"Actif - risque significatif",IF(AND('UT1'!$W$52&lt;$B$3,'UT1'!$AD$52="Oui"),"Maîtrisé / clôturable","Maîtrisé - à vérifier"))))</f>
        <v/>
      </c>
      <c r="M124" s="148" t="str">
        <f>IF(A124="","",IF('UT1'!$W$52&gt;=16,"P1 - Critique",IF('UT1'!$W$52&gt;=13,"P2 - Haute",IF('UT1'!$W$52&gt;=9,"P3 - Moyenne","P4 - Basse"))))</f>
        <v/>
      </c>
      <c r="N124" s="148"/>
      <c r="O124" s="148" t="str">
        <f>IF(A124="","",'UT1'!$X$52)</f>
        <v/>
      </c>
      <c r="P124" s="148"/>
      <c r="Q124" s="148"/>
      <c r="R124" s="148" t="str">
        <f>IF(A124="","",'UT1'!$Z$52)</f>
        <v/>
      </c>
      <c r="S124" s="148"/>
      <c r="T124" s="148"/>
      <c r="U124" s="149"/>
      <c r="V124" s="150"/>
      <c r="W124" s="150" t="str">
        <f>IF(A124="","",'UT1'!$Y$52)</f>
        <v/>
      </c>
      <c r="X124" s="148"/>
      <c r="Y124" s="148"/>
      <c r="Z124" s="148"/>
      <c r="AA124" s="148"/>
      <c r="AB124" s="148" t="str">
        <f>IF(A124="","",'UT1'!$AA$52)</f>
        <v/>
      </c>
      <c r="AC124" s="148" t="str">
        <f>IF(A124="","",'UT1'!$AD$52)</f>
        <v/>
      </c>
      <c r="AD124" s="150" t="str">
        <f>IF(A124="","",'UT1'!$AE$52)</f>
        <v/>
      </c>
      <c r="AE124" s="148"/>
      <c r="AF124" s="148"/>
      <c r="AG124" s="148" t="str">
        <f>IF(A124="","",'UT1'!$AF$52)</f>
        <v/>
      </c>
      <c r="AH124" s="151" t="str">
        <f t="shared" si="3"/>
        <v/>
      </c>
    </row>
    <row r="125" spans="1:34">
      <c r="A125" s="148" t="str">
        <f>IF(OR(IFERROR('UT1'!$W$53&gt;=$B$3,FALSE),'UT1'!$AC$53="Forcée",'UT1'!$X$53&lt;&gt;"",'UT1'!$AA$53&lt;&gt;""),"UT1-53","")</f>
        <v/>
      </c>
      <c r="B125" s="148" t="str">
        <f>IF(OR(IFERROR('UT1'!$W$53&gt;=$B$3,FALSE),'UT1'!$AC$53="Forcée",'UT1'!$X$53&lt;&gt;"",'UT1'!$AA$53&lt;&gt;""),"UT1","")</f>
        <v/>
      </c>
      <c r="C125" s="148" t="str">
        <f>IF(OR(IFERROR('UT1'!$W$53&gt;=$B$3,FALSE),'UT1'!$AC$53="Forcée",'UT1'!$X$53&lt;&gt;"",'UT1'!$AA$53&lt;&gt;""),'UT1'!$A$53,"")</f>
        <v/>
      </c>
      <c r="D125" s="148" t="str">
        <f>IF(OR(IFERROR('UT1'!$W$53&gt;=$B$3,FALSE),'UT1'!$AC$53="Forcée",'UT1'!$X$53&lt;&gt;"",'UT1'!$AA$53&lt;&gt;""),'UT1'!$B$53,"")</f>
        <v/>
      </c>
      <c r="E125" s="148" t="str">
        <f>IF(OR(IFERROR('UT1'!$W$53&gt;=$B$3,FALSE),'UT1'!$AC$53="Forcée",'UT1'!$X$53&lt;&gt;"",'UT1'!$AA$53&lt;&gt;""),'UT1'!$C$53,"")</f>
        <v/>
      </c>
      <c r="F125" s="148" t="str">
        <f>IF(OR(IFERROR('UT1'!$W$53&gt;=$B$3,FALSE),'UT1'!$AC$53="Forcée",'UT1'!$X$53&lt;&gt;"",'UT1'!$AA$53&lt;&gt;""),'UT1'!$D$53,"")</f>
        <v/>
      </c>
      <c r="G125" s="148" t="str">
        <f>IF(OR(IFERROR('UT1'!$W$53&gt;=$B$3,FALSE),'UT1'!$AC$53="Forcée",'UT1'!$X$53&lt;&gt;"",'UT1'!$AA$53&lt;&gt;""),'UT1'!$E$53,"")</f>
        <v/>
      </c>
      <c r="H125" s="148" t="str">
        <f>IF(OR(IFERROR('UT1'!$W$53&gt;=$B$3,FALSE),'UT1'!$AC$53="Forcée",'UT1'!$X$53&lt;&gt;"",'UT1'!$AA$53&lt;&gt;""),'UT1'!$H$53,"")</f>
        <v/>
      </c>
      <c r="I125" s="148" t="str">
        <f>IF(OR(IFERROR('UT1'!$W$53&gt;=$B$3,FALSE),'UT1'!$AC$53="Forcée",'UT1'!$X$53&lt;&gt;"",'UT1'!$AA$53&lt;&gt;""),'UT1'!$W$53,"")</f>
        <v/>
      </c>
      <c r="J125" s="148" t="str">
        <f t="shared" si="2"/>
        <v/>
      </c>
      <c r="K125" s="148" t="str">
        <f>IF(A125="","",IF('UT1'!$AC$53="Forcée","Forcée",IF('UT1'!$AC$53="Exclue","Exclue","Automatique")))</f>
        <v/>
      </c>
      <c r="L125" s="148" t="str">
        <f>IF(A125="","",IF('UT1'!$AC$53="Exclue","Exclu",IF('UT1'!$W$53&gt;=$B$3,"Actif - risque significatif",IF(AND('UT1'!$W$53&lt;$B$3,'UT1'!$AD$53="Oui"),"Maîtrisé / clôturable","Maîtrisé - à vérifier"))))</f>
        <v/>
      </c>
      <c r="M125" s="148" t="str">
        <f>IF(A125="","",IF('UT1'!$W$53&gt;=16,"P1 - Critique",IF('UT1'!$W$53&gt;=13,"P2 - Haute",IF('UT1'!$W$53&gt;=9,"P3 - Moyenne","P4 - Basse"))))</f>
        <v/>
      </c>
      <c r="N125" s="148"/>
      <c r="O125" s="148" t="str">
        <f>IF(A125="","",'UT1'!$X$53)</f>
        <v/>
      </c>
      <c r="P125" s="148"/>
      <c r="Q125" s="148"/>
      <c r="R125" s="148" t="str">
        <f>IF(A125="","",'UT1'!$Z$53)</f>
        <v/>
      </c>
      <c r="S125" s="148"/>
      <c r="T125" s="148"/>
      <c r="U125" s="149"/>
      <c r="V125" s="150"/>
      <c r="W125" s="150" t="str">
        <f>IF(A125="","",'UT1'!$Y$53)</f>
        <v/>
      </c>
      <c r="X125" s="148"/>
      <c r="Y125" s="148"/>
      <c r="Z125" s="148"/>
      <c r="AA125" s="148"/>
      <c r="AB125" s="148" t="str">
        <f>IF(A125="","",'UT1'!$AA$53)</f>
        <v/>
      </c>
      <c r="AC125" s="148" t="str">
        <f>IF(A125="","",'UT1'!$AD$53)</f>
        <v/>
      </c>
      <c r="AD125" s="150" t="str">
        <f>IF(A125="","",'UT1'!$AE$53)</f>
        <v/>
      </c>
      <c r="AE125" s="148"/>
      <c r="AF125" s="148"/>
      <c r="AG125" s="148" t="str">
        <f>IF(A125="","",'UT1'!$AF$53)</f>
        <v/>
      </c>
      <c r="AH125" s="151" t="str">
        <f t="shared" si="3"/>
        <v/>
      </c>
    </row>
    <row r="126" spans="1:34">
      <c r="A126" s="148" t="str">
        <f>IF(OR(IFERROR('UT1'!$W$54&gt;=$B$3,FALSE),'UT1'!$AC$54="Forcée",'UT1'!$X$54&lt;&gt;"",'UT1'!$AA$54&lt;&gt;""),"UT1-54","")</f>
        <v/>
      </c>
      <c r="B126" s="148" t="str">
        <f>IF(OR(IFERROR('UT1'!$W$54&gt;=$B$3,FALSE),'UT1'!$AC$54="Forcée",'UT1'!$X$54&lt;&gt;"",'UT1'!$AA$54&lt;&gt;""),"UT1","")</f>
        <v/>
      </c>
      <c r="C126" s="148" t="str">
        <f>IF(OR(IFERROR('UT1'!$W$54&gt;=$B$3,FALSE),'UT1'!$AC$54="Forcée",'UT1'!$X$54&lt;&gt;"",'UT1'!$AA$54&lt;&gt;""),'UT1'!$A$54,"")</f>
        <v/>
      </c>
      <c r="D126" s="148" t="str">
        <f>IF(OR(IFERROR('UT1'!$W$54&gt;=$B$3,FALSE),'UT1'!$AC$54="Forcée",'UT1'!$X$54&lt;&gt;"",'UT1'!$AA$54&lt;&gt;""),'UT1'!$B$54,"")</f>
        <v/>
      </c>
      <c r="E126" s="148" t="str">
        <f>IF(OR(IFERROR('UT1'!$W$54&gt;=$B$3,FALSE),'UT1'!$AC$54="Forcée",'UT1'!$X$54&lt;&gt;"",'UT1'!$AA$54&lt;&gt;""),'UT1'!$C$54,"")</f>
        <v/>
      </c>
      <c r="F126" s="148" t="str">
        <f>IF(OR(IFERROR('UT1'!$W$54&gt;=$B$3,FALSE),'UT1'!$AC$54="Forcée",'UT1'!$X$54&lt;&gt;"",'UT1'!$AA$54&lt;&gt;""),'UT1'!$D$54,"")</f>
        <v/>
      </c>
      <c r="G126" s="148" t="str">
        <f>IF(OR(IFERROR('UT1'!$W$54&gt;=$B$3,FALSE),'UT1'!$AC$54="Forcée",'UT1'!$X$54&lt;&gt;"",'UT1'!$AA$54&lt;&gt;""),'UT1'!$E$54,"")</f>
        <v/>
      </c>
      <c r="H126" s="148" t="str">
        <f>IF(OR(IFERROR('UT1'!$W$54&gt;=$B$3,FALSE),'UT1'!$AC$54="Forcée",'UT1'!$X$54&lt;&gt;"",'UT1'!$AA$54&lt;&gt;""),'UT1'!$H$54,"")</f>
        <v/>
      </c>
      <c r="I126" s="148" t="str">
        <f>IF(OR(IFERROR('UT1'!$W$54&gt;=$B$3,FALSE),'UT1'!$AC$54="Forcée",'UT1'!$X$54&lt;&gt;"",'UT1'!$AA$54&lt;&gt;""),'UT1'!$W$54,"")</f>
        <v/>
      </c>
      <c r="J126" s="148" t="str">
        <f t="shared" si="2"/>
        <v/>
      </c>
      <c r="K126" s="148" t="str">
        <f>IF(A126="","",IF('UT1'!$AC$54="Forcée","Forcée",IF('UT1'!$AC$54="Exclue","Exclue","Automatique")))</f>
        <v/>
      </c>
      <c r="L126" s="148" t="str">
        <f>IF(A126="","",IF('UT1'!$AC$54="Exclue","Exclu",IF('UT1'!$W$54&gt;=$B$3,"Actif - risque significatif",IF(AND('UT1'!$W$54&lt;$B$3,'UT1'!$AD$54="Oui"),"Maîtrisé / clôturable","Maîtrisé - à vérifier"))))</f>
        <v/>
      </c>
      <c r="M126" s="148" t="str">
        <f>IF(A126="","",IF('UT1'!$W$54&gt;=16,"P1 - Critique",IF('UT1'!$W$54&gt;=13,"P2 - Haute",IF('UT1'!$W$54&gt;=9,"P3 - Moyenne","P4 - Basse"))))</f>
        <v/>
      </c>
      <c r="N126" s="148"/>
      <c r="O126" s="148" t="str">
        <f>IF(A126="","",'UT1'!$X$54)</f>
        <v/>
      </c>
      <c r="P126" s="148"/>
      <c r="Q126" s="148"/>
      <c r="R126" s="148" t="str">
        <f>IF(A126="","",'UT1'!$Z$54)</f>
        <v/>
      </c>
      <c r="S126" s="148"/>
      <c r="T126" s="148"/>
      <c r="U126" s="149"/>
      <c r="V126" s="150"/>
      <c r="W126" s="150" t="str">
        <f>IF(A126="","",'UT1'!$Y$54)</f>
        <v/>
      </c>
      <c r="X126" s="148"/>
      <c r="Y126" s="148"/>
      <c r="Z126" s="148"/>
      <c r="AA126" s="148"/>
      <c r="AB126" s="148" t="str">
        <f>IF(A126="","",'UT1'!$AA$54)</f>
        <v/>
      </c>
      <c r="AC126" s="148" t="str">
        <f>IF(A126="","",'UT1'!$AD$54)</f>
        <v/>
      </c>
      <c r="AD126" s="150" t="str">
        <f>IF(A126="","",'UT1'!$AE$54)</f>
        <v/>
      </c>
      <c r="AE126" s="148"/>
      <c r="AF126" s="148"/>
      <c r="AG126" s="148" t="str">
        <f>IF(A126="","",'UT1'!$AF$54)</f>
        <v/>
      </c>
      <c r="AH126" s="151" t="str">
        <f t="shared" si="3"/>
        <v/>
      </c>
    </row>
    <row r="127" spans="1:34">
      <c r="A127" s="148" t="str">
        <f>IF(OR(IFERROR('UT1'!$W$55&gt;=$B$3,FALSE),'UT1'!$AC$55="Forcée",'UT1'!$X$55&lt;&gt;"",'UT1'!$AA$55&lt;&gt;""),"UT1-55","")</f>
        <v/>
      </c>
      <c r="B127" s="148" t="str">
        <f>IF(OR(IFERROR('UT1'!$W$55&gt;=$B$3,FALSE),'UT1'!$AC$55="Forcée",'UT1'!$X$55&lt;&gt;"",'UT1'!$AA$55&lt;&gt;""),"UT1","")</f>
        <v/>
      </c>
      <c r="C127" s="148" t="str">
        <f>IF(OR(IFERROR('UT1'!$W$55&gt;=$B$3,FALSE),'UT1'!$AC$55="Forcée",'UT1'!$X$55&lt;&gt;"",'UT1'!$AA$55&lt;&gt;""),'UT1'!$A$55,"")</f>
        <v/>
      </c>
      <c r="D127" s="148" t="str">
        <f>IF(OR(IFERROR('UT1'!$W$55&gt;=$B$3,FALSE),'UT1'!$AC$55="Forcée",'UT1'!$X$55&lt;&gt;"",'UT1'!$AA$55&lt;&gt;""),'UT1'!$B$55,"")</f>
        <v/>
      </c>
      <c r="E127" s="148" t="str">
        <f>IF(OR(IFERROR('UT1'!$W$55&gt;=$B$3,FALSE),'UT1'!$AC$55="Forcée",'UT1'!$X$55&lt;&gt;"",'UT1'!$AA$55&lt;&gt;""),'UT1'!$C$55,"")</f>
        <v/>
      </c>
      <c r="F127" s="148" t="str">
        <f>IF(OR(IFERROR('UT1'!$W$55&gt;=$B$3,FALSE),'UT1'!$AC$55="Forcée",'UT1'!$X$55&lt;&gt;"",'UT1'!$AA$55&lt;&gt;""),'UT1'!$D$55,"")</f>
        <v/>
      </c>
      <c r="G127" s="148" t="str">
        <f>IF(OR(IFERROR('UT1'!$W$55&gt;=$B$3,FALSE),'UT1'!$AC$55="Forcée",'UT1'!$X$55&lt;&gt;"",'UT1'!$AA$55&lt;&gt;""),'UT1'!$E$55,"")</f>
        <v/>
      </c>
      <c r="H127" s="148" t="str">
        <f>IF(OR(IFERROR('UT1'!$W$55&gt;=$B$3,FALSE),'UT1'!$AC$55="Forcée",'UT1'!$X$55&lt;&gt;"",'UT1'!$AA$55&lt;&gt;""),'UT1'!$H$55,"")</f>
        <v/>
      </c>
      <c r="I127" s="148" t="str">
        <f>IF(OR(IFERROR('UT1'!$W$55&gt;=$B$3,FALSE),'UT1'!$AC$55="Forcée",'UT1'!$X$55&lt;&gt;"",'UT1'!$AA$55&lt;&gt;""),'UT1'!$W$55,"")</f>
        <v/>
      </c>
      <c r="J127" s="148" t="str">
        <f t="shared" si="2"/>
        <v/>
      </c>
      <c r="K127" s="148" t="str">
        <f>IF(A127="","",IF('UT1'!$AC$55="Forcée","Forcée",IF('UT1'!$AC$55="Exclue","Exclue","Automatique")))</f>
        <v/>
      </c>
      <c r="L127" s="148" t="str">
        <f>IF(A127="","",IF('UT1'!$AC$55="Exclue","Exclu",IF('UT1'!$W$55&gt;=$B$3,"Actif - risque significatif",IF(AND('UT1'!$W$55&lt;$B$3,'UT1'!$AD$55="Oui"),"Maîtrisé / clôturable","Maîtrisé - à vérifier"))))</f>
        <v/>
      </c>
      <c r="M127" s="148" t="str">
        <f>IF(A127="","",IF('UT1'!$W$55&gt;=16,"P1 - Critique",IF('UT1'!$W$55&gt;=13,"P2 - Haute",IF('UT1'!$W$55&gt;=9,"P3 - Moyenne","P4 - Basse"))))</f>
        <v/>
      </c>
      <c r="N127" s="148"/>
      <c r="O127" s="148" t="str">
        <f>IF(A127="","",'UT1'!$X$55)</f>
        <v/>
      </c>
      <c r="P127" s="148"/>
      <c r="Q127" s="148"/>
      <c r="R127" s="148" t="str">
        <f>IF(A127="","",'UT1'!$Z$55)</f>
        <v/>
      </c>
      <c r="S127" s="148"/>
      <c r="T127" s="148"/>
      <c r="U127" s="149"/>
      <c r="V127" s="150"/>
      <c r="W127" s="150" t="str">
        <f>IF(A127="","",'UT1'!$Y$55)</f>
        <v/>
      </c>
      <c r="X127" s="148"/>
      <c r="Y127" s="148"/>
      <c r="Z127" s="148"/>
      <c r="AA127" s="148"/>
      <c r="AB127" s="148" t="str">
        <f>IF(A127="","",'UT1'!$AA$55)</f>
        <v/>
      </c>
      <c r="AC127" s="148" t="str">
        <f>IF(A127="","",'UT1'!$AD$55)</f>
        <v/>
      </c>
      <c r="AD127" s="150" t="str">
        <f>IF(A127="","",'UT1'!$AE$55)</f>
        <v/>
      </c>
      <c r="AE127" s="148"/>
      <c r="AF127" s="148"/>
      <c r="AG127" s="148" t="str">
        <f>IF(A127="","",'UT1'!$AF$55)</f>
        <v/>
      </c>
      <c r="AH127" s="151" t="str">
        <f t="shared" si="3"/>
        <v/>
      </c>
    </row>
    <row r="128" spans="1:34">
      <c r="A128" s="148" t="str">
        <f>IF(OR(IFERROR('UT1'!$W$56&gt;=$B$3,FALSE),'UT1'!$AC$56="Forcée",'UT1'!$X$56&lt;&gt;"",'UT1'!$AA$56&lt;&gt;""),"UT1-56","")</f>
        <v/>
      </c>
      <c r="B128" s="148" t="str">
        <f>IF(OR(IFERROR('UT1'!$W$56&gt;=$B$3,FALSE),'UT1'!$AC$56="Forcée",'UT1'!$X$56&lt;&gt;"",'UT1'!$AA$56&lt;&gt;""),"UT1","")</f>
        <v/>
      </c>
      <c r="C128" s="148" t="str">
        <f>IF(OR(IFERROR('UT1'!$W$56&gt;=$B$3,FALSE),'UT1'!$AC$56="Forcée",'UT1'!$X$56&lt;&gt;"",'UT1'!$AA$56&lt;&gt;""),'UT1'!$A$56,"")</f>
        <v/>
      </c>
      <c r="D128" s="148" t="str">
        <f>IF(OR(IFERROR('UT1'!$W$56&gt;=$B$3,FALSE),'UT1'!$AC$56="Forcée",'UT1'!$X$56&lt;&gt;"",'UT1'!$AA$56&lt;&gt;""),'UT1'!$B$56,"")</f>
        <v/>
      </c>
      <c r="E128" s="148" t="str">
        <f>IF(OR(IFERROR('UT1'!$W$56&gt;=$B$3,FALSE),'UT1'!$AC$56="Forcée",'UT1'!$X$56&lt;&gt;"",'UT1'!$AA$56&lt;&gt;""),'UT1'!$C$56,"")</f>
        <v/>
      </c>
      <c r="F128" s="148" t="str">
        <f>IF(OR(IFERROR('UT1'!$W$56&gt;=$B$3,FALSE),'UT1'!$AC$56="Forcée",'UT1'!$X$56&lt;&gt;"",'UT1'!$AA$56&lt;&gt;""),'UT1'!$D$56,"")</f>
        <v/>
      </c>
      <c r="G128" s="148" t="str">
        <f>IF(OR(IFERROR('UT1'!$W$56&gt;=$B$3,FALSE),'UT1'!$AC$56="Forcée",'UT1'!$X$56&lt;&gt;"",'UT1'!$AA$56&lt;&gt;""),'UT1'!$E$56,"")</f>
        <v/>
      </c>
      <c r="H128" s="148" t="str">
        <f>IF(OR(IFERROR('UT1'!$W$56&gt;=$B$3,FALSE),'UT1'!$AC$56="Forcée",'UT1'!$X$56&lt;&gt;"",'UT1'!$AA$56&lt;&gt;""),'UT1'!$H$56,"")</f>
        <v/>
      </c>
      <c r="I128" s="148" t="str">
        <f>IF(OR(IFERROR('UT1'!$W$56&gt;=$B$3,FALSE),'UT1'!$AC$56="Forcée",'UT1'!$X$56&lt;&gt;"",'UT1'!$AA$56&lt;&gt;""),'UT1'!$W$56,"")</f>
        <v/>
      </c>
      <c r="J128" s="148" t="str">
        <f t="shared" si="2"/>
        <v/>
      </c>
      <c r="K128" s="148" t="str">
        <f>IF(A128="","",IF('UT1'!$AC$56="Forcée","Forcée",IF('UT1'!$AC$56="Exclue","Exclue","Automatique")))</f>
        <v/>
      </c>
      <c r="L128" s="148" t="str">
        <f>IF(A128="","",IF('UT1'!$AC$56="Exclue","Exclu",IF('UT1'!$W$56&gt;=$B$3,"Actif - risque significatif",IF(AND('UT1'!$W$56&lt;$B$3,'UT1'!$AD$56="Oui"),"Maîtrisé / clôturable","Maîtrisé - à vérifier"))))</f>
        <v/>
      </c>
      <c r="M128" s="148" t="str">
        <f>IF(A128="","",IF('UT1'!$W$56&gt;=16,"P1 - Critique",IF('UT1'!$W$56&gt;=13,"P2 - Haute",IF('UT1'!$W$56&gt;=9,"P3 - Moyenne","P4 - Basse"))))</f>
        <v/>
      </c>
      <c r="N128" s="148"/>
      <c r="O128" s="148" t="str">
        <f>IF(A128="","",'UT1'!$X$56)</f>
        <v/>
      </c>
      <c r="P128" s="148"/>
      <c r="Q128" s="148"/>
      <c r="R128" s="148" t="str">
        <f>IF(A128="","",'UT1'!$Z$56)</f>
        <v/>
      </c>
      <c r="S128" s="148"/>
      <c r="T128" s="148"/>
      <c r="U128" s="149"/>
      <c r="V128" s="150"/>
      <c r="W128" s="150" t="str">
        <f>IF(A128="","",'UT1'!$Y$56)</f>
        <v/>
      </c>
      <c r="X128" s="148"/>
      <c r="Y128" s="148"/>
      <c r="Z128" s="148"/>
      <c r="AA128" s="148"/>
      <c r="AB128" s="148" t="str">
        <f>IF(A128="","",'UT1'!$AA$56)</f>
        <v/>
      </c>
      <c r="AC128" s="148" t="str">
        <f>IF(A128="","",'UT1'!$AD$56)</f>
        <v/>
      </c>
      <c r="AD128" s="150" t="str">
        <f>IF(A128="","",'UT1'!$AE$56)</f>
        <v/>
      </c>
      <c r="AE128" s="148"/>
      <c r="AF128" s="148"/>
      <c r="AG128" s="148" t="str">
        <f>IF(A128="","",'UT1'!$AF$56)</f>
        <v/>
      </c>
      <c r="AH128" s="151" t="str">
        <f t="shared" si="3"/>
        <v/>
      </c>
    </row>
    <row r="129" spans="1:34">
      <c r="A129" s="148" t="str">
        <f>IF(OR(IFERROR('UT1'!$W$57&gt;=$B$3,FALSE),'UT1'!$AC$57="Forcée",'UT1'!$X$57&lt;&gt;"",'UT1'!$AA$57&lt;&gt;""),"UT1-57","")</f>
        <v/>
      </c>
      <c r="B129" s="148" t="str">
        <f>IF(OR(IFERROR('UT1'!$W$57&gt;=$B$3,FALSE),'UT1'!$AC$57="Forcée",'UT1'!$X$57&lt;&gt;"",'UT1'!$AA$57&lt;&gt;""),"UT1","")</f>
        <v/>
      </c>
      <c r="C129" s="148" t="str">
        <f>IF(OR(IFERROR('UT1'!$W$57&gt;=$B$3,FALSE),'UT1'!$AC$57="Forcée",'UT1'!$X$57&lt;&gt;"",'UT1'!$AA$57&lt;&gt;""),'UT1'!$A$57,"")</f>
        <v/>
      </c>
      <c r="D129" s="148" t="str">
        <f>IF(OR(IFERROR('UT1'!$W$57&gt;=$B$3,FALSE),'UT1'!$AC$57="Forcée",'UT1'!$X$57&lt;&gt;"",'UT1'!$AA$57&lt;&gt;""),'UT1'!$B$57,"")</f>
        <v/>
      </c>
      <c r="E129" s="148" t="str">
        <f>IF(OR(IFERROR('UT1'!$W$57&gt;=$B$3,FALSE),'UT1'!$AC$57="Forcée",'UT1'!$X$57&lt;&gt;"",'UT1'!$AA$57&lt;&gt;""),'UT1'!$C$57,"")</f>
        <v/>
      </c>
      <c r="F129" s="148" t="str">
        <f>IF(OR(IFERROR('UT1'!$W$57&gt;=$B$3,FALSE),'UT1'!$AC$57="Forcée",'UT1'!$X$57&lt;&gt;"",'UT1'!$AA$57&lt;&gt;""),'UT1'!$D$57,"")</f>
        <v/>
      </c>
      <c r="G129" s="148" t="str">
        <f>IF(OR(IFERROR('UT1'!$W$57&gt;=$B$3,FALSE),'UT1'!$AC$57="Forcée",'UT1'!$X$57&lt;&gt;"",'UT1'!$AA$57&lt;&gt;""),'UT1'!$E$57,"")</f>
        <v/>
      </c>
      <c r="H129" s="148" t="str">
        <f>IF(OR(IFERROR('UT1'!$W$57&gt;=$B$3,FALSE),'UT1'!$AC$57="Forcée",'UT1'!$X$57&lt;&gt;"",'UT1'!$AA$57&lt;&gt;""),'UT1'!$H$57,"")</f>
        <v/>
      </c>
      <c r="I129" s="148" t="str">
        <f>IF(OR(IFERROR('UT1'!$W$57&gt;=$B$3,FALSE),'UT1'!$AC$57="Forcée",'UT1'!$X$57&lt;&gt;"",'UT1'!$AA$57&lt;&gt;""),'UT1'!$W$57,"")</f>
        <v/>
      </c>
      <c r="J129" s="148" t="str">
        <f t="shared" si="2"/>
        <v/>
      </c>
      <c r="K129" s="148" t="str">
        <f>IF(A129="","",IF('UT1'!$AC$57="Forcée","Forcée",IF('UT1'!$AC$57="Exclue","Exclue","Automatique")))</f>
        <v/>
      </c>
      <c r="L129" s="148" t="str">
        <f>IF(A129="","",IF('UT1'!$AC$57="Exclue","Exclu",IF('UT1'!$W$57&gt;=$B$3,"Actif - risque significatif",IF(AND('UT1'!$W$57&lt;$B$3,'UT1'!$AD$57="Oui"),"Maîtrisé / clôturable","Maîtrisé - à vérifier"))))</f>
        <v/>
      </c>
      <c r="M129" s="148" t="str">
        <f>IF(A129="","",IF('UT1'!$W$57&gt;=16,"P1 - Critique",IF('UT1'!$W$57&gt;=13,"P2 - Haute",IF('UT1'!$W$57&gt;=9,"P3 - Moyenne","P4 - Basse"))))</f>
        <v/>
      </c>
      <c r="N129" s="148"/>
      <c r="O129" s="148" t="str">
        <f>IF(A129="","",'UT1'!$X$57)</f>
        <v/>
      </c>
      <c r="P129" s="148"/>
      <c r="Q129" s="148"/>
      <c r="R129" s="148" t="str">
        <f>IF(A129="","",'UT1'!$Z$57)</f>
        <v/>
      </c>
      <c r="S129" s="148"/>
      <c r="T129" s="148"/>
      <c r="U129" s="149"/>
      <c r="V129" s="150"/>
      <c r="W129" s="150" t="str">
        <f>IF(A129="","",'UT1'!$Y$57)</f>
        <v/>
      </c>
      <c r="X129" s="148"/>
      <c r="Y129" s="148"/>
      <c r="Z129" s="148"/>
      <c r="AA129" s="148"/>
      <c r="AB129" s="148" t="str">
        <f>IF(A129="","",'UT1'!$AA$57)</f>
        <v/>
      </c>
      <c r="AC129" s="148" t="str">
        <f>IF(A129="","",'UT1'!$AD$57)</f>
        <v/>
      </c>
      <c r="AD129" s="150" t="str">
        <f>IF(A129="","",'UT1'!$AE$57)</f>
        <v/>
      </c>
      <c r="AE129" s="148"/>
      <c r="AF129" s="148"/>
      <c r="AG129" s="148" t="str">
        <f>IF(A129="","",'UT1'!$AF$57)</f>
        <v/>
      </c>
      <c r="AH129" s="151" t="str">
        <f t="shared" si="3"/>
        <v/>
      </c>
    </row>
    <row r="130" spans="1:34">
      <c r="A130" s="148" t="str">
        <f>IF(OR(IFERROR('UT1'!$W$58&gt;=$B$3,FALSE),'UT1'!$AC$58="Forcée",'UT1'!$X$58&lt;&gt;"",'UT1'!$AA$58&lt;&gt;""),"UT1-58","")</f>
        <v/>
      </c>
      <c r="B130" s="148" t="str">
        <f>IF(OR(IFERROR('UT1'!$W$58&gt;=$B$3,FALSE),'UT1'!$AC$58="Forcée",'UT1'!$X$58&lt;&gt;"",'UT1'!$AA$58&lt;&gt;""),"UT1","")</f>
        <v/>
      </c>
      <c r="C130" s="148" t="str">
        <f>IF(OR(IFERROR('UT1'!$W$58&gt;=$B$3,FALSE),'UT1'!$AC$58="Forcée",'UT1'!$X$58&lt;&gt;"",'UT1'!$AA$58&lt;&gt;""),'UT1'!$A$58,"")</f>
        <v/>
      </c>
      <c r="D130" s="148" t="str">
        <f>IF(OR(IFERROR('UT1'!$W$58&gt;=$B$3,FALSE),'UT1'!$AC$58="Forcée",'UT1'!$X$58&lt;&gt;"",'UT1'!$AA$58&lt;&gt;""),'UT1'!$B$58,"")</f>
        <v/>
      </c>
      <c r="E130" s="148" t="str">
        <f>IF(OR(IFERROR('UT1'!$W$58&gt;=$B$3,FALSE),'UT1'!$AC$58="Forcée",'UT1'!$X$58&lt;&gt;"",'UT1'!$AA$58&lt;&gt;""),'UT1'!$C$58,"")</f>
        <v/>
      </c>
      <c r="F130" s="148" t="str">
        <f>IF(OR(IFERROR('UT1'!$W$58&gt;=$B$3,FALSE),'UT1'!$AC$58="Forcée",'UT1'!$X$58&lt;&gt;"",'UT1'!$AA$58&lt;&gt;""),'UT1'!$D$58,"")</f>
        <v/>
      </c>
      <c r="G130" s="148" t="str">
        <f>IF(OR(IFERROR('UT1'!$W$58&gt;=$B$3,FALSE),'UT1'!$AC$58="Forcée",'UT1'!$X$58&lt;&gt;"",'UT1'!$AA$58&lt;&gt;""),'UT1'!$E$58,"")</f>
        <v/>
      </c>
      <c r="H130" s="148" t="str">
        <f>IF(OR(IFERROR('UT1'!$W$58&gt;=$B$3,FALSE),'UT1'!$AC$58="Forcée",'UT1'!$X$58&lt;&gt;"",'UT1'!$AA$58&lt;&gt;""),'UT1'!$H$58,"")</f>
        <v/>
      </c>
      <c r="I130" s="148" t="str">
        <f>IF(OR(IFERROR('UT1'!$W$58&gt;=$B$3,FALSE),'UT1'!$AC$58="Forcée",'UT1'!$X$58&lt;&gt;"",'UT1'!$AA$58&lt;&gt;""),'UT1'!$W$58,"")</f>
        <v/>
      </c>
      <c r="J130" s="148" t="str">
        <f t="shared" si="2"/>
        <v/>
      </c>
      <c r="K130" s="148" t="str">
        <f>IF(A130="","",IF('UT1'!$AC$58="Forcée","Forcée",IF('UT1'!$AC$58="Exclue","Exclue","Automatique")))</f>
        <v/>
      </c>
      <c r="L130" s="148" t="str">
        <f>IF(A130="","",IF('UT1'!$AC$58="Exclue","Exclu",IF('UT1'!$W$58&gt;=$B$3,"Actif - risque significatif",IF(AND('UT1'!$W$58&lt;$B$3,'UT1'!$AD$58="Oui"),"Maîtrisé / clôturable","Maîtrisé - à vérifier"))))</f>
        <v/>
      </c>
      <c r="M130" s="148" t="str">
        <f>IF(A130="","",IF('UT1'!$W$58&gt;=16,"P1 - Critique",IF('UT1'!$W$58&gt;=13,"P2 - Haute",IF('UT1'!$W$58&gt;=9,"P3 - Moyenne","P4 - Basse"))))</f>
        <v/>
      </c>
      <c r="N130" s="148"/>
      <c r="O130" s="148" t="str">
        <f>IF(A130="","",'UT1'!$X$58)</f>
        <v/>
      </c>
      <c r="P130" s="148"/>
      <c r="Q130" s="148"/>
      <c r="R130" s="148" t="str">
        <f>IF(A130="","",'UT1'!$Z$58)</f>
        <v/>
      </c>
      <c r="S130" s="148"/>
      <c r="T130" s="148"/>
      <c r="U130" s="149"/>
      <c r="V130" s="150"/>
      <c r="W130" s="150" t="str">
        <f>IF(A130="","",'UT1'!$Y$58)</f>
        <v/>
      </c>
      <c r="X130" s="148"/>
      <c r="Y130" s="148"/>
      <c r="Z130" s="148"/>
      <c r="AA130" s="148"/>
      <c r="AB130" s="148" t="str">
        <f>IF(A130="","",'UT1'!$AA$58)</f>
        <v/>
      </c>
      <c r="AC130" s="148" t="str">
        <f>IF(A130="","",'UT1'!$AD$58)</f>
        <v/>
      </c>
      <c r="AD130" s="150" t="str">
        <f>IF(A130="","",'UT1'!$AE$58)</f>
        <v/>
      </c>
      <c r="AE130" s="148"/>
      <c r="AF130" s="148"/>
      <c r="AG130" s="148" t="str">
        <f>IF(A130="","",'UT1'!$AF$58)</f>
        <v/>
      </c>
      <c r="AH130" s="151" t="str">
        <f t="shared" si="3"/>
        <v/>
      </c>
    </row>
    <row r="131" spans="1:34">
      <c r="A131" s="148" t="str">
        <f>IF(OR(IFERROR('UT1'!$W$59&gt;=$B$3,FALSE),'UT1'!$AC$59="Forcée",'UT1'!$X$59&lt;&gt;"",'UT1'!$AA$59&lt;&gt;""),"UT1-59","")</f>
        <v/>
      </c>
      <c r="B131" s="148" t="str">
        <f>IF(OR(IFERROR('UT1'!$W$59&gt;=$B$3,FALSE),'UT1'!$AC$59="Forcée",'UT1'!$X$59&lt;&gt;"",'UT1'!$AA$59&lt;&gt;""),"UT1","")</f>
        <v/>
      </c>
      <c r="C131" s="148" t="str">
        <f>IF(OR(IFERROR('UT1'!$W$59&gt;=$B$3,FALSE),'UT1'!$AC$59="Forcée",'UT1'!$X$59&lt;&gt;"",'UT1'!$AA$59&lt;&gt;""),'UT1'!$A$59,"")</f>
        <v/>
      </c>
      <c r="D131" s="148" t="str">
        <f>IF(OR(IFERROR('UT1'!$W$59&gt;=$B$3,FALSE),'UT1'!$AC$59="Forcée",'UT1'!$X$59&lt;&gt;"",'UT1'!$AA$59&lt;&gt;""),'UT1'!$B$59,"")</f>
        <v/>
      </c>
      <c r="E131" s="148" t="str">
        <f>IF(OR(IFERROR('UT1'!$W$59&gt;=$B$3,FALSE),'UT1'!$AC$59="Forcée",'UT1'!$X$59&lt;&gt;"",'UT1'!$AA$59&lt;&gt;""),'UT1'!$C$59,"")</f>
        <v/>
      </c>
      <c r="F131" s="148" t="str">
        <f>IF(OR(IFERROR('UT1'!$W$59&gt;=$B$3,FALSE),'UT1'!$AC$59="Forcée",'UT1'!$X$59&lt;&gt;"",'UT1'!$AA$59&lt;&gt;""),'UT1'!$D$59,"")</f>
        <v/>
      </c>
      <c r="G131" s="148" t="str">
        <f>IF(OR(IFERROR('UT1'!$W$59&gt;=$B$3,FALSE),'UT1'!$AC$59="Forcée",'UT1'!$X$59&lt;&gt;"",'UT1'!$AA$59&lt;&gt;""),'UT1'!$E$59,"")</f>
        <v/>
      </c>
      <c r="H131" s="148" t="str">
        <f>IF(OR(IFERROR('UT1'!$W$59&gt;=$B$3,FALSE),'UT1'!$AC$59="Forcée",'UT1'!$X$59&lt;&gt;"",'UT1'!$AA$59&lt;&gt;""),'UT1'!$H$59,"")</f>
        <v/>
      </c>
      <c r="I131" s="148" t="str">
        <f>IF(OR(IFERROR('UT1'!$W$59&gt;=$B$3,FALSE),'UT1'!$AC$59="Forcée",'UT1'!$X$59&lt;&gt;"",'UT1'!$AA$59&lt;&gt;""),'UT1'!$W$59,"")</f>
        <v/>
      </c>
      <c r="J131" s="148" t="str">
        <f t="shared" si="2"/>
        <v/>
      </c>
      <c r="K131" s="148" t="str">
        <f>IF(A131="","",IF('UT1'!$AC$59="Forcée","Forcée",IF('UT1'!$AC$59="Exclue","Exclue","Automatique")))</f>
        <v/>
      </c>
      <c r="L131" s="148" t="str">
        <f>IF(A131="","",IF('UT1'!$AC$59="Exclue","Exclu",IF('UT1'!$W$59&gt;=$B$3,"Actif - risque significatif",IF(AND('UT1'!$W$59&lt;$B$3,'UT1'!$AD$59="Oui"),"Maîtrisé / clôturable","Maîtrisé - à vérifier"))))</f>
        <v/>
      </c>
      <c r="M131" s="148" t="str">
        <f>IF(A131="","",IF('UT1'!$W$59&gt;=16,"P1 - Critique",IF('UT1'!$W$59&gt;=13,"P2 - Haute",IF('UT1'!$W$59&gt;=9,"P3 - Moyenne","P4 - Basse"))))</f>
        <v/>
      </c>
      <c r="N131" s="148"/>
      <c r="O131" s="148" t="str">
        <f>IF(A131="","",'UT1'!$X$59)</f>
        <v/>
      </c>
      <c r="P131" s="148"/>
      <c r="Q131" s="148"/>
      <c r="R131" s="148" t="str">
        <f>IF(A131="","",'UT1'!$Z$59)</f>
        <v/>
      </c>
      <c r="S131" s="148"/>
      <c r="T131" s="148"/>
      <c r="U131" s="149"/>
      <c r="V131" s="150"/>
      <c r="W131" s="150" t="str">
        <f>IF(A131="","",'UT1'!$Y$59)</f>
        <v/>
      </c>
      <c r="X131" s="148"/>
      <c r="Y131" s="148"/>
      <c r="Z131" s="148"/>
      <c r="AA131" s="148"/>
      <c r="AB131" s="148" t="str">
        <f>IF(A131="","",'UT1'!$AA$59)</f>
        <v/>
      </c>
      <c r="AC131" s="148" t="str">
        <f>IF(A131="","",'UT1'!$AD$59)</f>
        <v/>
      </c>
      <c r="AD131" s="150" t="str">
        <f>IF(A131="","",'UT1'!$AE$59)</f>
        <v/>
      </c>
      <c r="AE131" s="148"/>
      <c r="AF131" s="148"/>
      <c r="AG131" s="148" t="str">
        <f>IF(A131="","",'UT1'!$AF$59)</f>
        <v/>
      </c>
      <c r="AH131" s="151" t="str">
        <f t="shared" si="3"/>
        <v/>
      </c>
    </row>
    <row r="132" spans="1:34">
      <c r="A132" s="148" t="str">
        <f>IF(OR(IFERROR('UT1'!$W$60&gt;=$B$3,FALSE),'UT1'!$AC$60="Forcée",'UT1'!$X$60&lt;&gt;"",'UT1'!$AA$60&lt;&gt;""),"UT1-60","")</f>
        <v/>
      </c>
      <c r="B132" s="148" t="str">
        <f>IF(OR(IFERROR('UT1'!$W$60&gt;=$B$3,FALSE),'UT1'!$AC$60="Forcée",'UT1'!$X$60&lt;&gt;"",'UT1'!$AA$60&lt;&gt;""),"UT1","")</f>
        <v/>
      </c>
      <c r="C132" s="148" t="str">
        <f>IF(OR(IFERROR('UT1'!$W$60&gt;=$B$3,FALSE),'UT1'!$AC$60="Forcée",'UT1'!$X$60&lt;&gt;"",'UT1'!$AA$60&lt;&gt;""),'UT1'!$A$60,"")</f>
        <v/>
      </c>
      <c r="D132" s="148" t="str">
        <f>IF(OR(IFERROR('UT1'!$W$60&gt;=$B$3,FALSE),'UT1'!$AC$60="Forcée",'UT1'!$X$60&lt;&gt;"",'UT1'!$AA$60&lt;&gt;""),'UT1'!$B$60,"")</f>
        <v/>
      </c>
      <c r="E132" s="148" t="str">
        <f>IF(OR(IFERROR('UT1'!$W$60&gt;=$B$3,FALSE),'UT1'!$AC$60="Forcée",'UT1'!$X$60&lt;&gt;"",'UT1'!$AA$60&lt;&gt;""),'UT1'!$C$60,"")</f>
        <v/>
      </c>
      <c r="F132" s="148" t="str">
        <f>IF(OR(IFERROR('UT1'!$W$60&gt;=$B$3,FALSE),'UT1'!$AC$60="Forcée",'UT1'!$X$60&lt;&gt;"",'UT1'!$AA$60&lt;&gt;""),'UT1'!$D$60,"")</f>
        <v/>
      </c>
      <c r="G132" s="148" t="str">
        <f>IF(OR(IFERROR('UT1'!$W$60&gt;=$B$3,FALSE),'UT1'!$AC$60="Forcée",'UT1'!$X$60&lt;&gt;"",'UT1'!$AA$60&lt;&gt;""),'UT1'!$E$60,"")</f>
        <v/>
      </c>
      <c r="H132" s="148" t="str">
        <f>IF(OR(IFERROR('UT1'!$W$60&gt;=$B$3,FALSE),'UT1'!$AC$60="Forcée",'UT1'!$X$60&lt;&gt;"",'UT1'!$AA$60&lt;&gt;""),'UT1'!$H$60,"")</f>
        <v/>
      </c>
      <c r="I132" s="148" t="str">
        <f>IF(OR(IFERROR('UT1'!$W$60&gt;=$B$3,FALSE),'UT1'!$AC$60="Forcée",'UT1'!$X$60&lt;&gt;"",'UT1'!$AA$60&lt;&gt;""),'UT1'!$W$60,"")</f>
        <v/>
      </c>
      <c r="J132" s="148" t="str">
        <f t="shared" si="2"/>
        <v/>
      </c>
      <c r="K132" s="148" t="str">
        <f>IF(A132="","",IF('UT1'!$AC$60="Forcée","Forcée",IF('UT1'!$AC$60="Exclue","Exclue","Automatique")))</f>
        <v/>
      </c>
      <c r="L132" s="148" t="str">
        <f>IF(A132="","",IF('UT1'!$AC$60="Exclue","Exclu",IF('UT1'!$W$60&gt;=$B$3,"Actif - risque significatif",IF(AND('UT1'!$W$60&lt;$B$3,'UT1'!$AD$60="Oui"),"Maîtrisé / clôturable","Maîtrisé - à vérifier"))))</f>
        <v/>
      </c>
      <c r="M132" s="148" t="str">
        <f>IF(A132="","",IF('UT1'!$W$60&gt;=16,"P1 - Critique",IF('UT1'!$W$60&gt;=13,"P2 - Haute",IF('UT1'!$W$60&gt;=9,"P3 - Moyenne","P4 - Basse"))))</f>
        <v/>
      </c>
      <c r="N132" s="148"/>
      <c r="O132" s="148" t="str">
        <f>IF(A132="","",'UT1'!$X$60)</f>
        <v/>
      </c>
      <c r="P132" s="148"/>
      <c r="Q132" s="148"/>
      <c r="R132" s="148" t="str">
        <f>IF(A132="","",'UT1'!$Z$60)</f>
        <v/>
      </c>
      <c r="S132" s="148"/>
      <c r="T132" s="148"/>
      <c r="U132" s="149"/>
      <c r="V132" s="150"/>
      <c r="W132" s="150" t="str">
        <f>IF(A132="","",'UT1'!$Y$60)</f>
        <v/>
      </c>
      <c r="X132" s="148"/>
      <c r="Y132" s="148"/>
      <c r="Z132" s="148"/>
      <c r="AA132" s="148"/>
      <c r="AB132" s="148" t="str">
        <f>IF(A132="","",'UT1'!$AA$60)</f>
        <v/>
      </c>
      <c r="AC132" s="148" t="str">
        <f>IF(A132="","",'UT1'!$AD$60)</f>
        <v/>
      </c>
      <c r="AD132" s="150" t="str">
        <f>IF(A132="","",'UT1'!$AE$60)</f>
        <v/>
      </c>
      <c r="AE132" s="148"/>
      <c r="AF132" s="148"/>
      <c r="AG132" s="148" t="str">
        <f>IF(A132="","",'UT1'!$AF$60)</f>
        <v/>
      </c>
      <c r="AH132" s="151" t="str">
        <f t="shared" si="3"/>
        <v/>
      </c>
    </row>
    <row r="133" spans="1:34">
      <c r="A133" s="148" t="str">
        <f>IF(OR(IFERROR('UT1'!$W$61&gt;=$B$3,FALSE),'UT1'!$AC$61="Forcée",'UT1'!$X$61&lt;&gt;"",'UT1'!$AA$61&lt;&gt;""),"UT1-61","")</f>
        <v/>
      </c>
      <c r="B133" s="148" t="str">
        <f>IF(OR(IFERROR('UT1'!$W$61&gt;=$B$3,FALSE),'UT1'!$AC$61="Forcée",'UT1'!$X$61&lt;&gt;"",'UT1'!$AA$61&lt;&gt;""),"UT1","")</f>
        <v/>
      </c>
      <c r="C133" s="148" t="str">
        <f>IF(OR(IFERROR('UT1'!$W$61&gt;=$B$3,FALSE),'UT1'!$AC$61="Forcée",'UT1'!$X$61&lt;&gt;"",'UT1'!$AA$61&lt;&gt;""),'UT1'!$A$61,"")</f>
        <v/>
      </c>
      <c r="D133" s="148" t="str">
        <f>IF(OR(IFERROR('UT1'!$W$61&gt;=$B$3,FALSE),'UT1'!$AC$61="Forcée",'UT1'!$X$61&lt;&gt;"",'UT1'!$AA$61&lt;&gt;""),'UT1'!$B$61,"")</f>
        <v/>
      </c>
      <c r="E133" s="148" t="str">
        <f>IF(OR(IFERROR('UT1'!$W$61&gt;=$B$3,FALSE),'UT1'!$AC$61="Forcée",'UT1'!$X$61&lt;&gt;"",'UT1'!$AA$61&lt;&gt;""),'UT1'!$C$61,"")</f>
        <v/>
      </c>
      <c r="F133" s="148" t="str">
        <f>IF(OR(IFERROR('UT1'!$W$61&gt;=$B$3,FALSE),'UT1'!$AC$61="Forcée",'UT1'!$X$61&lt;&gt;"",'UT1'!$AA$61&lt;&gt;""),'UT1'!$D$61,"")</f>
        <v/>
      </c>
      <c r="G133" s="148" t="str">
        <f>IF(OR(IFERROR('UT1'!$W$61&gt;=$B$3,FALSE),'UT1'!$AC$61="Forcée",'UT1'!$X$61&lt;&gt;"",'UT1'!$AA$61&lt;&gt;""),'UT1'!$E$61,"")</f>
        <v/>
      </c>
      <c r="H133" s="148" t="str">
        <f>IF(OR(IFERROR('UT1'!$W$61&gt;=$B$3,FALSE),'UT1'!$AC$61="Forcée",'UT1'!$X$61&lt;&gt;"",'UT1'!$AA$61&lt;&gt;""),'UT1'!$H$61,"")</f>
        <v/>
      </c>
      <c r="I133" s="148" t="str">
        <f>IF(OR(IFERROR('UT1'!$W$61&gt;=$B$3,FALSE),'UT1'!$AC$61="Forcée",'UT1'!$X$61&lt;&gt;"",'UT1'!$AA$61&lt;&gt;""),'UT1'!$W$61,"")</f>
        <v/>
      </c>
      <c r="J133" s="148" t="str">
        <f t="shared" si="2"/>
        <v/>
      </c>
      <c r="K133" s="148" t="str">
        <f>IF(A133="","",IF('UT1'!$AC$61="Forcée","Forcée",IF('UT1'!$AC$61="Exclue","Exclue","Automatique")))</f>
        <v/>
      </c>
      <c r="L133" s="148" t="str">
        <f>IF(A133="","",IF('UT1'!$AC$61="Exclue","Exclu",IF('UT1'!$W$61&gt;=$B$3,"Actif - risque significatif",IF(AND('UT1'!$W$61&lt;$B$3,'UT1'!$AD$61="Oui"),"Maîtrisé / clôturable","Maîtrisé - à vérifier"))))</f>
        <v/>
      </c>
      <c r="M133" s="148" t="str">
        <f>IF(A133="","",IF('UT1'!$W$61&gt;=16,"P1 - Critique",IF('UT1'!$W$61&gt;=13,"P2 - Haute",IF('UT1'!$W$61&gt;=9,"P3 - Moyenne","P4 - Basse"))))</f>
        <v/>
      </c>
      <c r="N133" s="148"/>
      <c r="O133" s="148" t="str">
        <f>IF(A133="","",'UT1'!$X$61)</f>
        <v/>
      </c>
      <c r="P133" s="148"/>
      <c r="Q133" s="148"/>
      <c r="R133" s="148" t="str">
        <f>IF(A133="","",'UT1'!$Z$61)</f>
        <v/>
      </c>
      <c r="S133" s="148"/>
      <c r="T133" s="148"/>
      <c r="U133" s="149"/>
      <c r="V133" s="150"/>
      <c r="W133" s="150" t="str">
        <f>IF(A133="","",'UT1'!$Y$61)</f>
        <v/>
      </c>
      <c r="X133" s="148"/>
      <c r="Y133" s="148"/>
      <c r="Z133" s="148"/>
      <c r="AA133" s="148"/>
      <c r="AB133" s="148" t="str">
        <f>IF(A133="","",'UT1'!$AA$61)</f>
        <v/>
      </c>
      <c r="AC133" s="148" t="str">
        <f>IF(A133="","",'UT1'!$AD$61)</f>
        <v/>
      </c>
      <c r="AD133" s="150" t="str">
        <f>IF(A133="","",'UT1'!$AE$61)</f>
        <v/>
      </c>
      <c r="AE133" s="148"/>
      <c r="AF133" s="148"/>
      <c r="AG133" s="148" t="str">
        <f>IF(A133="","",'UT1'!$AF$61)</f>
        <v/>
      </c>
      <c r="AH133" s="151" t="str">
        <f t="shared" si="3"/>
        <v/>
      </c>
    </row>
    <row r="134" spans="1:34">
      <c r="A134" s="148" t="str">
        <f>IF(OR(IFERROR('UT1'!$W$62&gt;=$B$3,FALSE),'UT1'!$AC$62="Forcée",'UT1'!$X$62&lt;&gt;"",'UT1'!$AA$62&lt;&gt;""),"UT1-62","")</f>
        <v/>
      </c>
      <c r="B134" s="148" t="str">
        <f>IF(OR(IFERROR('UT1'!$W$62&gt;=$B$3,FALSE),'UT1'!$AC$62="Forcée",'UT1'!$X$62&lt;&gt;"",'UT1'!$AA$62&lt;&gt;""),"UT1","")</f>
        <v/>
      </c>
      <c r="C134" s="148" t="str">
        <f>IF(OR(IFERROR('UT1'!$W$62&gt;=$B$3,FALSE),'UT1'!$AC$62="Forcée",'UT1'!$X$62&lt;&gt;"",'UT1'!$AA$62&lt;&gt;""),'UT1'!$A$62,"")</f>
        <v/>
      </c>
      <c r="D134" s="148" t="str">
        <f>IF(OR(IFERROR('UT1'!$W$62&gt;=$B$3,FALSE),'UT1'!$AC$62="Forcée",'UT1'!$X$62&lt;&gt;"",'UT1'!$AA$62&lt;&gt;""),'UT1'!$B$62,"")</f>
        <v/>
      </c>
      <c r="E134" s="148" t="str">
        <f>IF(OR(IFERROR('UT1'!$W$62&gt;=$B$3,FALSE),'UT1'!$AC$62="Forcée",'UT1'!$X$62&lt;&gt;"",'UT1'!$AA$62&lt;&gt;""),'UT1'!$C$62,"")</f>
        <v/>
      </c>
      <c r="F134" s="148" t="str">
        <f>IF(OR(IFERROR('UT1'!$W$62&gt;=$B$3,FALSE),'UT1'!$AC$62="Forcée",'UT1'!$X$62&lt;&gt;"",'UT1'!$AA$62&lt;&gt;""),'UT1'!$D$62,"")</f>
        <v/>
      </c>
      <c r="G134" s="148" t="str">
        <f>IF(OR(IFERROR('UT1'!$W$62&gt;=$B$3,FALSE),'UT1'!$AC$62="Forcée",'UT1'!$X$62&lt;&gt;"",'UT1'!$AA$62&lt;&gt;""),'UT1'!$E$62,"")</f>
        <v/>
      </c>
      <c r="H134" s="148" t="str">
        <f>IF(OR(IFERROR('UT1'!$W$62&gt;=$B$3,FALSE),'UT1'!$AC$62="Forcée",'UT1'!$X$62&lt;&gt;"",'UT1'!$AA$62&lt;&gt;""),'UT1'!$H$62,"")</f>
        <v/>
      </c>
      <c r="I134" s="148" t="str">
        <f>IF(OR(IFERROR('UT1'!$W$62&gt;=$B$3,FALSE),'UT1'!$AC$62="Forcée",'UT1'!$X$62&lt;&gt;"",'UT1'!$AA$62&lt;&gt;""),'UT1'!$W$62,"")</f>
        <v/>
      </c>
      <c r="J134" s="148" t="str">
        <f t="shared" ref="J134:J197" si="4">IF(A134="","",$B$3)</f>
        <v/>
      </c>
      <c r="K134" s="148" t="str">
        <f>IF(A134="","",IF('UT1'!$AC$62="Forcée","Forcée",IF('UT1'!$AC$62="Exclue","Exclue","Automatique")))</f>
        <v/>
      </c>
      <c r="L134" s="148" t="str">
        <f>IF(A134="","",IF('UT1'!$AC$62="Exclue","Exclu",IF('UT1'!$W$62&gt;=$B$3,"Actif - risque significatif",IF(AND('UT1'!$W$62&lt;$B$3,'UT1'!$AD$62="Oui"),"Maîtrisé / clôturable","Maîtrisé - à vérifier"))))</f>
        <v/>
      </c>
      <c r="M134" s="148" t="str">
        <f>IF(A134="","",IF('UT1'!$W$62&gt;=16,"P1 - Critique",IF('UT1'!$W$62&gt;=13,"P2 - Haute",IF('UT1'!$W$62&gt;=9,"P3 - Moyenne","P4 - Basse"))))</f>
        <v/>
      </c>
      <c r="N134" s="148"/>
      <c r="O134" s="148" t="str">
        <f>IF(A134="","",'UT1'!$X$62)</f>
        <v/>
      </c>
      <c r="P134" s="148"/>
      <c r="Q134" s="148"/>
      <c r="R134" s="148" t="str">
        <f>IF(A134="","",'UT1'!$Z$62)</f>
        <v/>
      </c>
      <c r="S134" s="148"/>
      <c r="T134" s="148"/>
      <c r="U134" s="149"/>
      <c r="V134" s="150"/>
      <c r="W134" s="150" t="str">
        <f>IF(A134="","",'UT1'!$Y$62)</f>
        <v/>
      </c>
      <c r="X134" s="148"/>
      <c r="Y134" s="148"/>
      <c r="Z134" s="148"/>
      <c r="AA134" s="148"/>
      <c r="AB134" s="148" t="str">
        <f>IF(A134="","",'UT1'!$AA$62)</f>
        <v/>
      </c>
      <c r="AC134" s="148" t="str">
        <f>IF(A134="","",'UT1'!$AD$62)</f>
        <v/>
      </c>
      <c r="AD134" s="150" t="str">
        <f>IF(A134="","",'UT1'!$AE$62)</f>
        <v/>
      </c>
      <c r="AE134" s="148"/>
      <c r="AF134" s="148"/>
      <c r="AG134" s="148" t="str">
        <f>IF(A134="","",'UT1'!$AF$62)</f>
        <v/>
      </c>
      <c r="AH134" s="151" t="str">
        <f t="shared" ref="AH134:AH197" si="5">IF(A134="","",IFERROR((H134-I134)/H134,0))</f>
        <v/>
      </c>
    </row>
    <row r="135" spans="1:34">
      <c r="A135" s="148" t="str">
        <f>IF(OR(IFERROR('UT1'!$W$63&gt;=$B$3,FALSE),'UT1'!$AC$63="Forcée",'UT1'!$X$63&lt;&gt;"",'UT1'!$AA$63&lt;&gt;""),"UT1-63","")</f>
        <v/>
      </c>
      <c r="B135" s="148" t="str">
        <f>IF(OR(IFERROR('UT1'!$W$63&gt;=$B$3,FALSE),'UT1'!$AC$63="Forcée",'UT1'!$X$63&lt;&gt;"",'UT1'!$AA$63&lt;&gt;""),"UT1","")</f>
        <v/>
      </c>
      <c r="C135" s="148" t="str">
        <f>IF(OR(IFERROR('UT1'!$W$63&gt;=$B$3,FALSE),'UT1'!$AC$63="Forcée",'UT1'!$X$63&lt;&gt;"",'UT1'!$AA$63&lt;&gt;""),'UT1'!$A$63,"")</f>
        <v/>
      </c>
      <c r="D135" s="148" t="str">
        <f>IF(OR(IFERROR('UT1'!$W$63&gt;=$B$3,FALSE),'UT1'!$AC$63="Forcée",'UT1'!$X$63&lt;&gt;"",'UT1'!$AA$63&lt;&gt;""),'UT1'!$B$63,"")</f>
        <v/>
      </c>
      <c r="E135" s="148" t="str">
        <f>IF(OR(IFERROR('UT1'!$W$63&gt;=$B$3,FALSE),'UT1'!$AC$63="Forcée",'UT1'!$X$63&lt;&gt;"",'UT1'!$AA$63&lt;&gt;""),'UT1'!$C$63,"")</f>
        <v/>
      </c>
      <c r="F135" s="148" t="str">
        <f>IF(OR(IFERROR('UT1'!$W$63&gt;=$B$3,FALSE),'UT1'!$AC$63="Forcée",'UT1'!$X$63&lt;&gt;"",'UT1'!$AA$63&lt;&gt;""),'UT1'!$D$63,"")</f>
        <v/>
      </c>
      <c r="G135" s="148" t="str">
        <f>IF(OR(IFERROR('UT1'!$W$63&gt;=$B$3,FALSE),'UT1'!$AC$63="Forcée",'UT1'!$X$63&lt;&gt;"",'UT1'!$AA$63&lt;&gt;""),'UT1'!$E$63,"")</f>
        <v/>
      </c>
      <c r="H135" s="148" t="str">
        <f>IF(OR(IFERROR('UT1'!$W$63&gt;=$B$3,FALSE),'UT1'!$AC$63="Forcée",'UT1'!$X$63&lt;&gt;"",'UT1'!$AA$63&lt;&gt;""),'UT1'!$H$63,"")</f>
        <v/>
      </c>
      <c r="I135" s="148" t="str">
        <f>IF(OR(IFERROR('UT1'!$W$63&gt;=$B$3,FALSE),'UT1'!$AC$63="Forcée",'UT1'!$X$63&lt;&gt;"",'UT1'!$AA$63&lt;&gt;""),'UT1'!$W$63,"")</f>
        <v/>
      </c>
      <c r="J135" s="148" t="str">
        <f t="shared" si="4"/>
        <v/>
      </c>
      <c r="K135" s="148" t="str">
        <f>IF(A135="","",IF('UT1'!$AC$63="Forcée","Forcée",IF('UT1'!$AC$63="Exclue","Exclue","Automatique")))</f>
        <v/>
      </c>
      <c r="L135" s="148" t="str">
        <f>IF(A135="","",IF('UT1'!$AC$63="Exclue","Exclu",IF('UT1'!$W$63&gt;=$B$3,"Actif - risque significatif",IF(AND('UT1'!$W$63&lt;$B$3,'UT1'!$AD$63="Oui"),"Maîtrisé / clôturable","Maîtrisé - à vérifier"))))</f>
        <v/>
      </c>
      <c r="M135" s="148" t="str">
        <f>IF(A135="","",IF('UT1'!$W$63&gt;=16,"P1 - Critique",IF('UT1'!$W$63&gt;=13,"P2 - Haute",IF('UT1'!$W$63&gt;=9,"P3 - Moyenne","P4 - Basse"))))</f>
        <v/>
      </c>
      <c r="N135" s="148"/>
      <c r="O135" s="148" t="str">
        <f>IF(A135="","",'UT1'!$X$63)</f>
        <v/>
      </c>
      <c r="P135" s="148"/>
      <c r="Q135" s="148"/>
      <c r="R135" s="148" t="str">
        <f>IF(A135="","",'UT1'!$Z$63)</f>
        <v/>
      </c>
      <c r="S135" s="148"/>
      <c r="T135" s="148"/>
      <c r="U135" s="149"/>
      <c r="V135" s="150"/>
      <c r="W135" s="150" t="str">
        <f>IF(A135="","",'UT1'!$Y$63)</f>
        <v/>
      </c>
      <c r="X135" s="148"/>
      <c r="Y135" s="148"/>
      <c r="Z135" s="148"/>
      <c r="AA135" s="148"/>
      <c r="AB135" s="148" t="str">
        <f>IF(A135="","",'UT1'!$AA$63)</f>
        <v/>
      </c>
      <c r="AC135" s="148" t="str">
        <f>IF(A135="","",'UT1'!$AD$63)</f>
        <v/>
      </c>
      <c r="AD135" s="150" t="str">
        <f>IF(A135="","",'UT1'!$AE$63)</f>
        <v/>
      </c>
      <c r="AE135" s="148"/>
      <c r="AF135" s="148"/>
      <c r="AG135" s="148" t="str">
        <f>IF(A135="","",'UT1'!$AF$63)</f>
        <v/>
      </c>
      <c r="AH135" s="151" t="str">
        <f t="shared" si="5"/>
        <v/>
      </c>
    </row>
    <row r="136" spans="1:34">
      <c r="A136" s="148" t="str">
        <f>IF(OR(IFERROR('UT1'!$W$64&gt;=$B$3,FALSE),'UT1'!$AC$64="Forcée",'UT1'!$X$64&lt;&gt;"",'UT1'!$AA$64&lt;&gt;""),"UT1-64","")</f>
        <v/>
      </c>
      <c r="B136" s="148" t="str">
        <f>IF(OR(IFERROR('UT1'!$W$64&gt;=$B$3,FALSE),'UT1'!$AC$64="Forcée",'UT1'!$X$64&lt;&gt;"",'UT1'!$AA$64&lt;&gt;""),"UT1","")</f>
        <v/>
      </c>
      <c r="C136" s="148" t="str">
        <f>IF(OR(IFERROR('UT1'!$W$64&gt;=$B$3,FALSE),'UT1'!$AC$64="Forcée",'UT1'!$X$64&lt;&gt;"",'UT1'!$AA$64&lt;&gt;""),'UT1'!$A$64,"")</f>
        <v/>
      </c>
      <c r="D136" s="148" t="str">
        <f>IF(OR(IFERROR('UT1'!$W$64&gt;=$B$3,FALSE),'UT1'!$AC$64="Forcée",'UT1'!$X$64&lt;&gt;"",'UT1'!$AA$64&lt;&gt;""),'UT1'!$B$64,"")</f>
        <v/>
      </c>
      <c r="E136" s="148" t="str">
        <f>IF(OR(IFERROR('UT1'!$W$64&gt;=$B$3,FALSE),'UT1'!$AC$64="Forcée",'UT1'!$X$64&lt;&gt;"",'UT1'!$AA$64&lt;&gt;""),'UT1'!$C$64,"")</f>
        <v/>
      </c>
      <c r="F136" s="148" t="str">
        <f>IF(OR(IFERROR('UT1'!$W$64&gt;=$B$3,FALSE),'UT1'!$AC$64="Forcée",'UT1'!$X$64&lt;&gt;"",'UT1'!$AA$64&lt;&gt;""),'UT1'!$D$64,"")</f>
        <v/>
      </c>
      <c r="G136" s="148" t="str">
        <f>IF(OR(IFERROR('UT1'!$W$64&gt;=$B$3,FALSE),'UT1'!$AC$64="Forcée",'UT1'!$X$64&lt;&gt;"",'UT1'!$AA$64&lt;&gt;""),'UT1'!$E$64,"")</f>
        <v/>
      </c>
      <c r="H136" s="148" t="str">
        <f>IF(OR(IFERROR('UT1'!$W$64&gt;=$B$3,FALSE),'UT1'!$AC$64="Forcée",'UT1'!$X$64&lt;&gt;"",'UT1'!$AA$64&lt;&gt;""),'UT1'!$H$64,"")</f>
        <v/>
      </c>
      <c r="I136" s="148" t="str">
        <f>IF(OR(IFERROR('UT1'!$W$64&gt;=$B$3,FALSE),'UT1'!$AC$64="Forcée",'UT1'!$X$64&lt;&gt;"",'UT1'!$AA$64&lt;&gt;""),'UT1'!$W$64,"")</f>
        <v/>
      </c>
      <c r="J136" s="148" t="str">
        <f t="shared" si="4"/>
        <v/>
      </c>
      <c r="K136" s="148" t="str">
        <f>IF(A136="","",IF('UT1'!$AC$64="Forcée","Forcée",IF('UT1'!$AC$64="Exclue","Exclue","Automatique")))</f>
        <v/>
      </c>
      <c r="L136" s="148" t="str">
        <f>IF(A136="","",IF('UT1'!$AC$64="Exclue","Exclu",IF('UT1'!$W$64&gt;=$B$3,"Actif - risque significatif",IF(AND('UT1'!$W$64&lt;$B$3,'UT1'!$AD$64="Oui"),"Maîtrisé / clôturable","Maîtrisé - à vérifier"))))</f>
        <v/>
      </c>
      <c r="M136" s="148" t="str">
        <f>IF(A136="","",IF('UT1'!$W$64&gt;=16,"P1 - Critique",IF('UT1'!$W$64&gt;=13,"P2 - Haute",IF('UT1'!$W$64&gt;=9,"P3 - Moyenne","P4 - Basse"))))</f>
        <v/>
      </c>
      <c r="N136" s="148"/>
      <c r="O136" s="148" t="str">
        <f>IF(A136="","",'UT1'!$X$64)</f>
        <v/>
      </c>
      <c r="P136" s="148"/>
      <c r="Q136" s="148"/>
      <c r="R136" s="148" t="str">
        <f>IF(A136="","",'UT1'!$Z$64)</f>
        <v/>
      </c>
      <c r="S136" s="148"/>
      <c r="T136" s="148"/>
      <c r="U136" s="149"/>
      <c r="V136" s="150"/>
      <c r="W136" s="150" t="str">
        <f>IF(A136="","",'UT1'!$Y$64)</f>
        <v/>
      </c>
      <c r="X136" s="148"/>
      <c r="Y136" s="148"/>
      <c r="Z136" s="148"/>
      <c r="AA136" s="148"/>
      <c r="AB136" s="148" t="str">
        <f>IF(A136="","",'UT1'!$AA$64)</f>
        <v/>
      </c>
      <c r="AC136" s="148" t="str">
        <f>IF(A136="","",'UT1'!$AD$64)</f>
        <v/>
      </c>
      <c r="AD136" s="150" t="str">
        <f>IF(A136="","",'UT1'!$AE$64)</f>
        <v/>
      </c>
      <c r="AE136" s="148"/>
      <c r="AF136" s="148"/>
      <c r="AG136" s="148" t="str">
        <f>IF(A136="","",'UT1'!$AF$64)</f>
        <v/>
      </c>
      <c r="AH136" s="151" t="str">
        <f t="shared" si="5"/>
        <v/>
      </c>
    </row>
    <row r="137" spans="1:34">
      <c r="A137" s="148" t="str">
        <f>IF(OR(IFERROR('UT1'!$W$65&gt;=$B$3,FALSE),'UT1'!$AC$65="Forcée",'UT1'!$X$65&lt;&gt;"",'UT1'!$AA$65&lt;&gt;""),"UT1-65","")</f>
        <v/>
      </c>
      <c r="B137" s="148" t="str">
        <f>IF(OR(IFERROR('UT1'!$W$65&gt;=$B$3,FALSE),'UT1'!$AC$65="Forcée",'UT1'!$X$65&lt;&gt;"",'UT1'!$AA$65&lt;&gt;""),"UT1","")</f>
        <v/>
      </c>
      <c r="C137" s="148" t="str">
        <f>IF(OR(IFERROR('UT1'!$W$65&gt;=$B$3,FALSE),'UT1'!$AC$65="Forcée",'UT1'!$X$65&lt;&gt;"",'UT1'!$AA$65&lt;&gt;""),'UT1'!$A$65,"")</f>
        <v/>
      </c>
      <c r="D137" s="148" t="str">
        <f>IF(OR(IFERROR('UT1'!$W$65&gt;=$B$3,FALSE),'UT1'!$AC$65="Forcée",'UT1'!$X$65&lt;&gt;"",'UT1'!$AA$65&lt;&gt;""),'UT1'!$B$65,"")</f>
        <v/>
      </c>
      <c r="E137" s="148" t="str">
        <f>IF(OR(IFERROR('UT1'!$W$65&gt;=$B$3,FALSE),'UT1'!$AC$65="Forcée",'UT1'!$X$65&lt;&gt;"",'UT1'!$AA$65&lt;&gt;""),'UT1'!$C$65,"")</f>
        <v/>
      </c>
      <c r="F137" s="148" t="str">
        <f>IF(OR(IFERROR('UT1'!$W$65&gt;=$B$3,FALSE),'UT1'!$AC$65="Forcée",'UT1'!$X$65&lt;&gt;"",'UT1'!$AA$65&lt;&gt;""),'UT1'!$D$65,"")</f>
        <v/>
      </c>
      <c r="G137" s="148" t="str">
        <f>IF(OR(IFERROR('UT1'!$W$65&gt;=$B$3,FALSE),'UT1'!$AC$65="Forcée",'UT1'!$X$65&lt;&gt;"",'UT1'!$AA$65&lt;&gt;""),'UT1'!$E$65,"")</f>
        <v/>
      </c>
      <c r="H137" s="148" t="str">
        <f>IF(OR(IFERROR('UT1'!$W$65&gt;=$B$3,FALSE),'UT1'!$AC$65="Forcée",'UT1'!$X$65&lt;&gt;"",'UT1'!$AA$65&lt;&gt;""),'UT1'!$H$65,"")</f>
        <v/>
      </c>
      <c r="I137" s="148" t="str">
        <f>IF(OR(IFERROR('UT1'!$W$65&gt;=$B$3,FALSE),'UT1'!$AC$65="Forcée",'UT1'!$X$65&lt;&gt;"",'UT1'!$AA$65&lt;&gt;""),'UT1'!$W$65,"")</f>
        <v/>
      </c>
      <c r="J137" s="148" t="str">
        <f t="shared" si="4"/>
        <v/>
      </c>
      <c r="K137" s="148" t="str">
        <f>IF(A137="","",IF('UT1'!$AC$65="Forcée","Forcée",IF('UT1'!$AC$65="Exclue","Exclue","Automatique")))</f>
        <v/>
      </c>
      <c r="L137" s="148" t="str">
        <f>IF(A137="","",IF('UT1'!$AC$65="Exclue","Exclu",IF('UT1'!$W$65&gt;=$B$3,"Actif - risque significatif",IF(AND('UT1'!$W$65&lt;$B$3,'UT1'!$AD$65="Oui"),"Maîtrisé / clôturable","Maîtrisé - à vérifier"))))</f>
        <v/>
      </c>
      <c r="M137" s="148" t="str">
        <f>IF(A137="","",IF('UT1'!$W$65&gt;=16,"P1 - Critique",IF('UT1'!$W$65&gt;=13,"P2 - Haute",IF('UT1'!$W$65&gt;=9,"P3 - Moyenne","P4 - Basse"))))</f>
        <v/>
      </c>
      <c r="N137" s="148"/>
      <c r="O137" s="148" t="str">
        <f>IF(A137="","",'UT1'!$X$65)</f>
        <v/>
      </c>
      <c r="P137" s="148"/>
      <c r="Q137" s="148"/>
      <c r="R137" s="148" t="str">
        <f>IF(A137="","",'UT1'!$Z$65)</f>
        <v/>
      </c>
      <c r="S137" s="148"/>
      <c r="T137" s="148"/>
      <c r="U137" s="149"/>
      <c r="V137" s="150"/>
      <c r="W137" s="150" t="str">
        <f>IF(A137="","",'UT1'!$Y$65)</f>
        <v/>
      </c>
      <c r="X137" s="148"/>
      <c r="Y137" s="148"/>
      <c r="Z137" s="148"/>
      <c r="AA137" s="148"/>
      <c r="AB137" s="148" t="str">
        <f>IF(A137="","",'UT1'!$AA$65)</f>
        <v/>
      </c>
      <c r="AC137" s="148" t="str">
        <f>IF(A137="","",'UT1'!$AD$65)</f>
        <v/>
      </c>
      <c r="AD137" s="150" t="str">
        <f>IF(A137="","",'UT1'!$AE$65)</f>
        <v/>
      </c>
      <c r="AE137" s="148"/>
      <c r="AF137" s="148"/>
      <c r="AG137" s="148" t="str">
        <f>IF(A137="","",'UT1'!$AF$65)</f>
        <v/>
      </c>
      <c r="AH137" s="151" t="str">
        <f t="shared" si="5"/>
        <v/>
      </c>
    </row>
    <row r="138" spans="1:34">
      <c r="A138" s="148" t="str">
        <f>IF(OR(IFERROR('UT1'!$W$66&gt;=$B$3,FALSE),'UT1'!$AC$66="Forcée",'UT1'!$X$66&lt;&gt;"",'UT1'!$AA$66&lt;&gt;""),"UT1-66","")</f>
        <v/>
      </c>
      <c r="B138" s="148" t="str">
        <f>IF(OR(IFERROR('UT1'!$W$66&gt;=$B$3,FALSE),'UT1'!$AC$66="Forcée",'UT1'!$X$66&lt;&gt;"",'UT1'!$AA$66&lt;&gt;""),"UT1","")</f>
        <v/>
      </c>
      <c r="C138" s="148" t="str">
        <f>IF(OR(IFERROR('UT1'!$W$66&gt;=$B$3,FALSE),'UT1'!$AC$66="Forcée",'UT1'!$X$66&lt;&gt;"",'UT1'!$AA$66&lt;&gt;""),'UT1'!$A$66,"")</f>
        <v/>
      </c>
      <c r="D138" s="148" t="str">
        <f>IF(OR(IFERROR('UT1'!$W$66&gt;=$B$3,FALSE),'UT1'!$AC$66="Forcée",'UT1'!$X$66&lt;&gt;"",'UT1'!$AA$66&lt;&gt;""),'UT1'!$B$66,"")</f>
        <v/>
      </c>
      <c r="E138" s="148" t="str">
        <f>IF(OR(IFERROR('UT1'!$W$66&gt;=$B$3,FALSE),'UT1'!$AC$66="Forcée",'UT1'!$X$66&lt;&gt;"",'UT1'!$AA$66&lt;&gt;""),'UT1'!$C$66,"")</f>
        <v/>
      </c>
      <c r="F138" s="148" t="str">
        <f>IF(OR(IFERROR('UT1'!$W$66&gt;=$B$3,FALSE),'UT1'!$AC$66="Forcée",'UT1'!$X$66&lt;&gt;"",'UT1'!$AA$66&lt;&gt;""),'UT1'!$D$66,"")</f>
        <v/>
      </c>
      <c r="G138" s="148" t="str">
        <f>IF(OR(IFERROR('UT1'!$W$66&gt;=$B$3,FALSE),'UT1'!$AC$66="Forcée",'UT1'!$X$66&lt;&gt;"",'UT1'!$AA$66&lt;&gt;""),'UT1'!$E$66,"")</f>
        <v/>
      </c>
      <c r="H138" s="148" t="str">
        <f>IF(OR(IFERROR('UT1'!$W$66&gt;=$B$3,FALSE),'UT1'!$AC$66="Forcée",'UT1'!$X$66&lt;&gt;"",'UT1'!$AA$66&lt;&gt;""),'UT1'!$H$66,"")</f>
        <v/>
      </c>
      <c r="I138" s="148" t="str">
        <f>IF(OR(IFERROR('UT1'!$W$66&gt;=$B$3,FALSE),'UT1'!$AC$66="Forcée",'UT1'!$X$66&lt;&gt;"",'UT1'!$AA$66&lt;&gt;""),'UT1'!$W$66,"")</f>
        <v/>
      </c>
      <c r="J138" s="148" t="str">
        <f t="shared" si="4"/>
        <v/>
      </c>
      <c r="K138" s="148" t="str">
        <f>IF(A138="","",IF('UT1'!$AC$66="Forcée","Forcée",IF('UT1'!$AC$66="Exclue","Exclue","Automatique")))</f>
        <v/>
      </c>
      <c r="L138" s="148" t="str">
        <f>IF(A138="","",IF('UT1'!$AC$66="Exclue","Exclu",IF('UT1'!$W$66&gt;=$B$3,"Actif - risque significatif",IF(AND('UT1'!$W$66&lt;$B$3,'UT1'!$AD$66="Oui"),"Maîtrisé / clôturable","Maîtrisé - à vérifier"))))</f>
        <v/>
      </c>
      <c r="M138" s="148" t="str">
        <f>IF(A138="","",IF('UT1'!$W$66&gt;=16,"P1 - Critique",IF('UT1'!$W$66&gt;=13,"P2 - Haute",IF('UT1'!$W$66&gt;=9,"P3 - Moyenne","P4 - Basse"))))</f>
        <v/>
      </c>
      <c r="N138" s="148"/>
      <c r="O138" s="148" t="str">
        <f>IF(A138="","",'UT1'!$X$66)</f>
        <v/>
      </c>
      <c r="P138" s="148"/>
      <c r="Q138" s="148"/>
      <c r="R138" s="148" t="str">
        <f>IF(A138="","",'UT1'!$Z$66)</f>
        <v/>
      </c>
      <c r="S138" s="148"/>
      <c r="T138" s="148"/>
      <c r="U138" s="149"/>
      <c r="V138" s="150"/>
      <c r="W138" s="150" t="str">
        <f>IF(A138="","",'UT1'!$Y$66)</f>
        <v/>
      </c>
      <c r="X138" s="148"/>
      <c r="Y138" s="148"/>
      <c r="Z138" s="148"/>
      <c r="AA138" s="148"/>
      <c r="AB138" s="148" t="str">
        <f>IF(A138="","",'UT1'!$AA$66)</f>
        <v/>
      </c>
      <c r="AC138" s="148" t="str">
        <f>IF(A138="","",'UT1'!$AD$66)</f>
        <v/>
      </c>
      <c r="AD138" s="150" t="str">
        <f>IF(A138="","",'UT1'!$AE$66)</f>
        <v/>
      </c>
      <c r="AE138" s="148"/>
      <c r="AF138" s="148"/>
      <c r="AG138" s="148" t="str">
        <f>IF(A138="","",'UT1'!$AF$66)</f>
        <v/>
      </c>
      <c r="AH138" s="151" t="str">
        <f t="shared" si="5"/>
        <v/>
      </c>
    </row>
    <row r="139" spans="1:34">
      <c r="A139" s="148" t="str">
        <f>IF(OR(IFERROR('UT1'!$W$67&gt;=$B$3,FALSE),'UT1'!$AC$67="Forcée",'UT1'!$X$67&lt;&gt;"",'UT1'!$AA$67&lt;&gt;""),"UT1-67","")</f>
        <v/>
      </c>
      <c r="B139" s="148" t="str">
        <f>IF(OR(IFERROR('UT1'!$W$67&gt;=$B$3,FALSE),'UT1'!$AC$67="Forcée",'UT1'!$X$67&lt;&gt;"",'UT1'!$AA$67&lt;&gt;""),"UT1","")</f>
        <v/>
      </c>
      <c r="C139" s="148" t="str">
        <f>IF(OR(IFERROR('UT1'!$W$67&gt;=$B$3,FALSE),'UT1'!$AC$67="Forcée",'UT1'!$X$67&lt;&gt;"",'UT1'!$AA$67&lt;&gt;""),'UT1'!$A$67,"")</f>
        <v/>
      </c>
      <c r="D139" s="148" t="str">
        <f>IF(OR(IFERROR('UT1'!$W$67&gt;=$B$3,FALSE),'UT1'!$AC$67="Forcée",'UT1'!$X$67&lt;&gt;"",'UT1'!$AA$67&lt;&gt;""),'UT1'!$B$67,"")</f>
        <v/>
      </c>
      <c r="E139" s="148" t="str">
        <f>IF(OR(IFERROR('UT1'!$W$67&gt;=$B$3,FALSE),'UT1'!$AC$67="Forcée",'UT1'!$X$67&lt;&gt;"",'UT1'!$AA$67&lt;&gt;""),'UT1'!$C$67,"")</f>
        <v/>
      </c>
      <c r="F139" s="148" t="str">
        <f>IF(OR(IFERROR('UT1'!$W$67&gt;=$B$3,FALSE),'UT1'!$AC$67="Forcée",'UT1'!$X$67&lt;&gt;"",'UT1'!$AA$67&lt;&gt;""),'UT1'!$D$67,"")</f>
        <v/>
      </c>
      <c r="G139" s="148" t="str">
        <f>IF(OR(IFERROR('UT1'!$W$67&gt;=$B$3,FALSE),'UT1'!$AC$67="Forcée",'UT1'!$X$67&lt;&gt;"",'UT1'!$AA$67&lt;&gt;""),'UT1'!$E$67,"")</f>
        <v/>
      </c>
      <c r="H139" s="148" t="str">
        <f>IF(OR(IFERROR('UT1'!$W$67&gt;=$B$3,FALSE),'UT1'!$AC$67="Forcée",'UT1'!$X$67&lt;&gt;"",'UT1'!$AA$67&lt;&gt;""),'UT1'!$H$67,"")</f>
        <v/>
      </c>
      <c r="I139" s="148" t="str">
        <f>IF(OR(IFERROR('UT1'!$W$67&gt;=$B$3,FALSE),'UT1'!$AC$67="Forcée",'UT1'!$X$67&lt;&gt;"",'UT1'!$AA$67&lt;&gt;""),'UT1'!$W$67,"")</f>
        <v/>
      </c>
      <c r="J139" s="148" t="str">
        <f t="shared" si="4"/>
        <v/>
      </c>
      <c r="K139" s="148" t="str">
        <f>IF(A139="","",IF('UT1'!$AC$67="Forcée","Forcée",IF('UT1'!$AC$67="Exclue","Exclue","Automatique")))</f>
        <v/>
      </c>
      <c r="L139" s="148" t="str">
        <f>IF(A139="","",IF('UT1'!$AC$67="Exclue","Exclu",IF('UT1'!$W$67&gt;=$B$3,"Actif - risque significatif",IF(AND('UT1'!$W$67&lt;$B$3,'UT1'!$AD$67="Oui"),"Maîtrisé / clôturable","Maîtrisé - à vérifier"))))</f>
        <v/>
      </c>
      <c r="M139" s="148" t="str">
        <f>IF(A139="","",IF('UT1'!$W$67&gt;=16,"P1 - Critique",IF('UT1'!$W$67&gt;=13,"P2 - Haute",IF('UT1'!$W$67&gt;=9,"P3 - Moyenne","P4 - Basse"))))</f>
        <v/>
      </c>
      <c r="N139" s="148"/>
      <c r="O139" s="148" t="str">
        <f>IF(A139="","",'UT1'!$X$67)</f>
        <v/>
      </c>
      <c r="P139" s="148"/>
      <c r="Q139" s="148"/>
      <c r="R139" s="148" t="str">
        <f>IF(A139="","",'UT1'!$Z$67)</f>
        <v/>
      </c>
      <c r="S139" s="148"/>
      <c r="T139" s="148"/>
      <c r="U139" s="149"/>
      <c r="V139" s="150"/>
      <c r="W139" s="150" t="str">
        <f>IF(A139="","",'UT1'!$Y$67)</f>
        <v/>
      </c>
      <c r="X139" s="148"/>
      <c r="Y139" s="148"/>
      <c r="Z139" s="148"/>
      <c r="AA139" s="148"/>
      <c r="AB139" s="148" t="str">
        <f>IF(A139="","",'UT1'!$AA$67)</f>
        <v/>
      </c>
      <c r="AC139" s="148" t="str">
        <f>IF(A139="","",'UT1'!$AD$67)</f>
        <v/>
      </c>
      <c r="AD139" s="150" t="str">
        <f>IF(A139="","",'UT1'!$AE$67)</f>
        <v/>
      </c>
      <c r="AE139" s="148"/>
      <c r="AF139" s="148"/>
      <c r="AG139" s="148" t="str">
        <f>IF(A139="","",'UT1'!$AF$67)</f>
        <v/>
      </c>
      <c r="AH139" s="151" t="str">
        <f t="shared" si="5"/>
        <v/>
      </c>
    </row>
    <row r="140" spans="1:34">
      <c r="A140" s="148" t="str">
        <f>IF(OR(IFERROR('UT1'!$W$68&gt;=$B$3,FALSE),'UT1'!$AC$68="Forcée",'UT1'!$X$68&lt;&gt;"",'UT1'!$AA$68&lt;&gt;""),"UT1-68","")</f>
        <v/>
      </c>
      <c r="B140" s="148" t="str">
        <f>IF(OR(IFERROR('UT1'!$W$68&gt;=$B$3,FALSE),'UT1'!$AC$68="Forcée",'UT1'!$X$68&lt;&gt;"",'UT1'!$AA$68&lt;&gt;""),"UT1","")</f>
        <v/>
      </c>
      <c r="C140" s="148" t="str">
        <f>IF(OR(IFERROR('UT1'!$W$68&gt;=$B$3,FALSE),'UT1'!$AC$68="Forcée",'UT1'!$X$68&lt;&gt;"",'UT1'!$AA$68&lt;&gt;""),'UT1'!$A$68,"")</f>
        <v/>
      </c>
      <c r="D140" s="148" t="str">
        <f>IF(OR(IFERROR('UT1'!$W$68&gt;=$B$3,FALSE),'UT1'!$AC$68="Forcée",'UT1'!$X$68&lt;&gt;"",'UT1'!$AA$68&lt;&gt;""),'UT1'!$B$68,"")</f>
        <v/>
      </c>
      <c r="E140" s="148" t="str">
        <f>IF(OR(IFERROR('UT1'!$W$68&gt;=$B$3,FALSE),'UT1'!$AC$68="Forcée",'UT1'!$X$68&lt;&gt;"",'UT1'!$AA$68&lt;&gt;""),'UT1'!$C$68,"")</f>
        <v/>
      </c>
      <c r="F140" s="148" t="str">
        <f>IF(OR(IFERROR('UT1'!$W$68&gt;=$B$3,FALSE),'UT1'!$AC$68="Forcée",'UT1'!$X$68&lt;&gt;"",'UT1'!$AA$68&lt;&gt;""),'UT1'!$D$68,"")</f>
        <v/>
      </c>
      <c r="G140" s="148" t="str">
        <f>IF(OR(IFERROR('UT1'!$W$68&gt;=$B$3,FALSE),'UT1'!$AC$68="Forcée",'UT1'!$X$68&lt;&gt;"",'UT1'!$AA$68&lt;&gt;""),'UT1'!$E$68,"")</f>
        <v/>
      </c>
      <c r="H140" s="148" t="str">
        <f>IF(OR(IFERROR('UT1'!$W$68&gt;=$B$3,FALSE),'UT1'!$AC$68="Forcée",'UT1'!$X$68&lt;&gt;"",'UT1'!$AA$68&lt;&gt;""),'UT1'!$H$68,"")</f>
        <v/>
      </c>
      <c r="I140" s="148" t="str">
        <f>IF(OR(IFERROR('UT1'!$W$68&gt;=$B$3,FALSE),'UT1'!$AC$68="Forcée",'UT1'!$X$68&lt;&gt;"",'UT1'!$AA$68&lt;&gt;""),'UT1'!$W$68,"")</f>
        <v/>
      </c>
      <c r="J140" s="148" t="str">
        <f t="shared" si="4"/>
        <v/>
      </c>
      <c r="K140" s="148" t="str">
        <f>IF(A140="","",IF('UT1'!$AC$68="Forcée","Forcée",IF('UT1'!$AC$68="Exclue","Exclue","Automatique")))</f>
        <v/>
      </c>
      <c r="L140" s="148" t="str">
        <f>IF(A140="","",IF('UT1'!$AC$68="Exclue","Exclu",IF('UT1'!$W$68&gt;=$B$3,"Actif - risque significatif",IF(AND('UT1'!$W$68&lt;$B$3,'UT1'!$AD$68="Oui"),"Maîtrisé / clôturable","Maîtrisé - à vérifier"))))</f>
        <v/>
      </c>
      <c r="M140" s="148" t="str">
        <f>IF(A140="","",IF('UT1'!$W$68&gt;=16,"P1 - Critique",IF('UT1'!$W$68&gt;=13,"P2 - Haute",IF('UT1'!$W$68&gt;=9,"P3 - Moyenne","P4 - Basse"))))</f>
        <v/>
      </c>
      <c r="N140" s="148"/>
      <c r="O140" s="148" t="str">
        <f>IF(A140="","",'UT1'!$X$68)</f>
        <v/>
      </c>
      <c r="P140" s="148"/>
      <c r="Q140" s="148"/>
      <c r="R140" s="148" t="str">
        <f>IF(A140="","",'UT1'!$Z$68)</f>
        <v/>
      </c>
      <c r="S140" s="148"/>
      <c r="T140" s="148"/>
      <c r="U140" s="149"/>
      <c r="V140" s="150"/>
      <c r="W140" s="150" t="str">
        <f>IF(A140="","",'UT1'!$Y$68)</f>
        <v/>
      </c>
      <c r="X140" s="148"/>
      <c r="Y140" s="148"/>
      <c r="Z140" s="148"/>
      <c r="AA140" s="148"/>
      <c r="AB140" s="148" t="str">
        <f>IF(A140="","",'UT1'!$AA$68)</f>
        <v/>
      </c>
      <c r="AC140" s="148" t="str">
        <f>IF(A140="","",'UT1'!$AD$68)</f>
        <v/>
      </c>
      <c r="AD140" s="150" t="str">
        <f>IF(A140="","",'UT1'!$AE$68)</f>
        <v/>
      </c>
      <c r="AE140" s="148"/>
      <c r="AF140" s="148"/>
      <c r="AG140" s="148" t="str">
        <f>IF(A140="","",'UT1'!$AF$68)</f>
        <v/>
      </c>
      <c r="AH140" s="151" t="str">
        <f t="shared" si="5"/>
        <v/>
      </c>
    </row>
    <row r="141" spans="1:34">
      <c r="A141" s="148" t="str">
        <f>IF(OR(IFERROR('UT1'!$W$69&gt;=$B$3,FALSE),'UT1'!$AC$69="Forcée",'UT1'!$X$69&lt;&gt;"",'UT1'!$AA$69&lt;&gt;""),"UT1-69","")</f>
        <v/>
      </c>
      <c r="B141" s="148" t="str">
        <f>IF(OR(IFERROR('UT1'!$W$69&gt;=$B$3,FALSE),'UT1'!$AC$69="Forcée",'UT1'!$X$69&lt;&gt;"",'UT1'!$AA$69&lt;&gt;""),"UT1","")</f>
        <v/>
      </c>
      <c r="C141" s="148" t="str">
        <f>IF(OR(IFERROR('UT1'!$W$69&gt;=$B$3,FALSE),'UT1'!$AC$69="Forcée",'UT1'!$X$69&lt;&gt;"",'UT1'!$AA$69&lt;&gt;""),'UT1'!$A$69,"")</f>
        <v/>
      </c>
      <c r="D141" s="148" t="str">
        <f>IF(OR(IFERROR('UT1'!$W$69&gt;=$B$3,FALSE),'UT1'!$AC$69="Forcée",'UT1'!$X$69&lt;&gt;"",'UT1'!$AA$69&lt;&gt;""),'UT1'!$B$69,"")</f>
        <v/>
      </c>
      <c r="E141" s="148" t="str">
        <f>IF(OR(IFERROR('UT1'!$W$69&gt;=$B$3,FALSE),'UT1'!$AC$69="Forcée",'UT1'!$X$69&lt;&gt;"",'UT1'!$AA$69&lt;&gt;""),'UT1'!$C$69,"")</f>
        <v/>
      </c>
      <c r="F141" s="148" t="str">
        <f>IF(OR(IFERROR('UT1'!$W$69&gt;=$B$3,FALSE),'UT1'!$AC$69="Forcée",'UT1'!$X$69&lt;&gt;"",'UT1'!$AA$69&lt;&gt;""),'UT1'!$D$69,"")</f>
        <v/>
      </c>
      <c r="G141" s="148" t="str">
        <f>IF(OR(IFERROR('UT1'!$W$69&gt;=$B$3,FALSE),'UT1'!$AC$69="Forcée",'UT1'!$X$69&lt;&gt;"",'UT1'!$AA$69&lt;&gt;""),'UT1'!$E$69,"")</f>
        <v/>
      </c>
      <c r="H141" s="148" t="str">
        <f>IF(OR(IFERROR('UT1'!$W$69&gt;=$B$3,FALSE),'UT1'!$AC$69="Forcée",'UT1'!$X$69&lt;&gt;"",'UT1'!$AA$69&lt;&gt;""),'UT1'!$H$69,"")</f>
        <v/>
      </c>
      <c r="I141" s="148" t="str">
        <f>IF(OR(IFERROR('UT1'!$W$69&gt;=$B$3,FALSE),'UT1'!$AC$69="Forcée",'UT1'!$X$69&lt;&gt;"",'UT1'!$AA$69&lt;&gt;""),'UT1'!$W$69,"")</f>
        <v/>
      </c>
      <c r="J141" s="148" t="str">
        <f t="shared" si="4"/>
        <v/>
      </c>
      <c r="K141" s="148" t="str">
        <f>IF(A141="","",IF('UT1'!$AC$69="Forcée","Forcée",IF('UT1'!$AC$69="Exclue","Exclue","Automatique")))</f>
        <v/>
      </c>
      <c r="L141" s="148" t="str">
        <f>IF(A141="","",IF('UT1'!$AC$69="Exclue","Exclu",IF('UT1'!$W$69&gt;=$B$3,"Actif - risque significatif",IF(AND('UT1'!$W$69&lt;$B$3,'UT1'!$AD$69="Oui"),"Maîtrisé / clôturable","Maîtrisé - à vérifier"))))</f>
        <v/>
      </c>
      <c r="M141" s="148" t="str">
        <f>IF(A141="","",IF('UT1'!$W$69&gt;=16,"P1 - Critique",IF('UT1'!$W$69&gt;=13,"P2 - Haute",IF('UT1'!$W$69&gt;=9,"P3 - Moyenne","P4 - Basse"))))</f>
        <v/>
      </c>
      <c r="N141" s="148"/>
      <c r="O141" s="148" t="str">
        <f>IF(A141="","",'UT1'!$X$69)</f>
        <v/>
      </c>
      <c r="P141" s="148"/>
      <c r="Q141" s="148"/>
      <c r="R141" s="148" t="str">
        <f>IF(A141="","",'UT1'!$Z$69)</f>
        <v/>
      </c>
      <c r="S141" s="148"/>
      <c r="T141" s="148"/>
      <c r="U141" s="149"/>
      <c r="V141" s="150"/>
      <c r="W141" s="150" t="str">
        <f>IF(A141="","",'UT1'!$Y$69)</f>
        <v/>
      </c>
      <c r="X141" s="148"/>
      <c r="Y141" s="148"/>
      <c r="Z141" s="148"/>
      <c r="AA141" s="148"/>
      <c r="AB141" s="148" t="str">
        <f>IF(A141="","",'UT1'!$AA$69)</f>
        <v/>
      </c>
      <c r="AC141" s="148" t="str">
        <f>IF(A141="","",'UT1'!$AD$69)</f>
        <v/>
      </c>
      <c r="AD141" s="150" t="str">
        <f>IF(A141="","",'UT1'!$AE$69)</f>
        <v/>
      </c>
      <c r="AE141" s="148"/>
      <c r="AF141" s="148"/>
      <c r="AG141" s="148" t="str">
        <f>IF(A141="","",'UT1'!$AF$69)</f>
        <v/>
      </c>
      <c r="AH141" s="151" t="str">
        <f t="shared" si="5"/>
        <v/>
      </c>
    </row>
    <row r="142" spans="1:34">
      <c r="A142" s="148" t="str">
        <f>IF(OR(IFERROR('UT1'!$W$70&gt;=$B$3,FALSE),'UT1'!$AC$70="Forcée",'UT1'!$X$70&lt;&gt;"",'UT1'!$AA$70&lt;&gt;""),"UT1-70","")</f>
        <v/>
      </c>
      <c r="B142" s="148" t="str">
        <f>IF(OR(IFERROR('UT1'!$W$70&gt;=$B$3,FALSE),'UT1'!$AC$70="Forcée",'UT1'!$X$70&lt;&gt;"",'UT1'!$AA$70&lt;&gt;""),"UT1","")</f>
        <v/>
      </c>
      <c r="C142" s="148" t="str">
        <f>IF(OR(IFERROR('UT1'!$W$70&gt;=$B$3,FALSE),'UT1'!$AC$70="Forcée",'UT1'!$X$70&lt;&gt;"",'UT1'!$AA$70&lt;&gt;""),'UT1'!$A$70,"")</f>
        <v/>
      </c>
      <c r="D142" s="148" t="str">
        <f>IF(OR(IFERROR('UT1'!$W$70&gt;=$B$3,FALSE),'UT1'!$AC$70="Forcée",'UT1'!$X$70&lt;&gt;"",'UT1'!$AA$70&lt;&gt;""),'UT1'!$B$70,"")</f>
        <v/>
      </c>
      <c r="E142" s="148" t="str">
        <f>IF(OR(IFERROR('UT1'!$W$70&gt;=$B$3,FALSE),'UT1'!$AC$70="Forcée",'UT1'!$X$70&lt;&gt;"",'UT1'!$AA$70&lt;&gt;""),'UT1'!$C$70,"")</f>
        <v/>
      </c>
      <c r="F142" s="148" t="str">
        <f>IF(OR(IFERROR('UT1'!$W$70&gt;=$B$3,FALSE),'UT1'!$AC$70="Forcée",'UT1'!$X$70&lt;&gt;"",'UT1'!$AA$70&lt;&gt;""),'UT1'!$D$70,"")</f>
        <v/>
      </c>
      <c r="G142" s="148" t="str">
        <f>IF(OR(IFERROR('UT1'!$W$70&gt;=$B$3,FALSE),'UT1'!$AC$70="Forcée",'UT1'!$X$70&lt;&gt;"",'UT1'!$AA$70&lt;&gt;""),'UT1'!$E$70,"")</f>
        <v/>
      </c>
      <c r="H142" s="148" t="str">
        <f>IF(OR(IFERROR('UT1'!$W$70&gt;=$B$3,FALSE),'UT1'!$AC$70="Forcée",'UT1'!$X$70&lt;&gt;"",'UT1'!$AA$70&lt;&gt;""),'UT1'!$H$70,"")</f>
        <v/>
      </c>
      <c r="I142" s="148" t="str">
        <f>IF(OR(IFERROR('UT1'!$W$70&gt;=$B$3,FALSE),'UT1'!$AC$70="Forcée",'UT1'!$X$70&lt;&gt;"",'UT1'!$AA$70&lt;&gt;""),'UT1'!$W$70,"")</f>
        <v/>
      </c>
      <c r="J142" s="148" t="str">
        <f t="shared" si="4"/>
        <v/>
      </c>
      <c r="K142" s="148" t="str">
        <f>IF(A142="","",IF('UT1'!$AC$70="Forcée","Forcée",IF('UT1'!$AC$70="Exclue","Exclue","Automatique")))</f>
        <v/>
      </c>
      <c r="L142" s="148" t="str">
        <f>IF(A142="","",IF('UT1'!$AC$70="Exclue","Exclu",IF('UT1'!$W$70&gt;=$B$3,"Actif - risque significatif",IF(AND('UT1'!$W$70&lt;$B$3,'UT1'!$AD$70="Oui"),"Maîtrisé / clôturable","Maîtrisé - à vérifier"))))</f>
        <v/>
      </c>
      <c r="M142" s="148" t="str">
        <f>IF(A142="","",IF('UT1'!$W$70&gt;=16,"P1 - Critique",IF('UT1'!$W$70&gt;=13,"P2 - Haute",IF('UT1'!$W$70&gt;=9,"P3 - Moyenne","P4 - Basse"))))</f>
        <v/>
      </c>
      <c r="N142" s="148"/>
      <c r="O142" s="148" t="str">
        <f>IF(A142="","",'UT1'!$X$70)</f>
        <v/>
      </c>
      <c r="P142" s="148"/>
      <c r="Q142" s="148"/>
      <c r="R142" s="148" t="str">
        <f>IF(A142="","",'UT1'!$Z$70)</f>
        <v/>
      </c>
      <c r="S142" s="148"/>
      <c r="T142" s="148"/>
      <c r="U142" s="149"/>
      <c r="V142" s="150"/>
      <c r="W142" s="150" t="str">
        <f>IF(A142="","",'UT1'!$Y$70)</f>
        <v/>
      </c>
      <c r="X142" s="148"/>
      <c r="Y142" s="148"/>
      <c r="Z142" s="148"/>
      <c r="AA142" s="148"/>
      <c r="AB142" s="148" t="str">
        <f>IF(A142="","",'UT1'!$AA$70)</f>
        <v/>
      </c>
      <c r="AC142" s="148" t="str">
        <f>IF(A142="","",'UT1'!$AD$70)</f>
        <v/>
      </c>
      <c r="AD142" s="150" t="str">
        <f>IF(A142="","",'UT1'!$AE$70)</f>
        <v/>
      </c>
      <c r="AE142" s="148"/>
      <c r="AF142" s="148"/>
      <c r="AG142" s="148" t="str">
        <f>IF(A142="","",'UT1'!$AF$70)</f>
        <v/>
      </c>
      <c r="AH142" s="151" t="str">
        <f t="shared" si="5"/>
        <v/>
      </c>
    </row>
    <row r="143" spans="1:34">
      <c r="A143" s="148" t="str">
        <f>IF(OR(IFERROR('UT1'!$W$71&gt;=$B$3,FALSE),'UT1'!$AC$71="Forcée",'UT1'!$X$71&lt;&gt;"",'UT1'!$AA$71&lt;&gt;""),"UT1-71","")</f>
        <v/>
      </c>
      <c r="B143" s="148" t="str">
        <f>IF(OR(IFERROR('UT1'!$W$71&gt;=$B$3,FALSE),'UT1'!$AC$71="Forcée",'UT1'!$X$71&lt;&gt;"",'UT1'!$AA$71&lt;&gt;""),"UT1","")</f>
        <v/>
      </c>
      <c r="C143" s="148" t="str">
        <f>IF(OR(IFERROR('UT1'!$W$71&gt;=$B$3,FALSE),'UT1'!$AC$71="Forcée",'UT1'!$X$71&lt;&gt;"",'UT1'!$AA$71&lt;&gt;""),'UT1'!$A$71,"")</f>
        <v/>
      </c>
      <c r="D143" s="148" t="str">
        <f>IF(OR(IFERROR('UT1'!$W$71&gt;=$B$3,FALSE),'UT1'!$AC$71="Forcée",'UT1'!$X$71&lt;&gt;"",'UT1'!$AA$71&lt;&gt;""),'UT1'!$B$71,"")</f>
        <v/>
      </c>
      <c r="E143" s="148" t="str">
        <f>IF(OR(IFERROR('UT1'!$W$71&gt;=$B$3,FALSE),'UT1'!$AC$71="Forcée",'UT1'!$X$71&lt;&gt;"",'UT1'!$AA$71&lt;&gt;""),'UT1'!$C$71,"")</f>
        <v/>
      </c>
      <c r="F143" s="148" t="str">
        <f>IF(OR(IFERROR('UT1'!$W$71&gt;=$B$3,FALSE),'UT1'!$AC$71="Forcée",'UT1'!$X$71&lt;&gt;"",'UT1'!$AA$71&lt;&gt;""),'UT1'!$D$71,"")</f>
        <v/>
      </c>
      <c r="G143" s="148" t="str">
        <f>IF(OR(IFERROR('UT1'!$W$71&gt;=$B$3,FALSE),'UT1'!$AC$71="Forcée",'UT1'!$X$71&lt;&gt;"",'UT1'!$AA$71&lt;&gt;""),'UT1'!$E$71,"")</f>
        <v/>
      </c>
      <c r="H143" s="148" t="str">
        <f>IF(OR(IFERROR('UT1'!$W$71&gt;=$B$3,FALSE),'UT1'!$AC$71="Forcée",'UT1'!$X$71&lt;&gt;"",'UT1'!$AA$71&lt;&gt;""),'UT1'!$H$71,"")</f>
        <v/>
      </c>
      <c r="I143" s="148" t="str">
        <f>IF(OR(IFERROR('UT1'!$W$71&gt;=$B$3,FALSE),'UT1'!$AC$71="Forcée",'UT1'!$X$71&lt;&gt;"",'UT1'!$AA$71&lt;&gt;""),'UT1'!$W$71,"")</f>
        <v/>
      </c>
      <c r="J143" s="148" t="str">
        <f t="shared" si="4"/>
        <v/>
      </c>
      <c r="K143" s="148" t="str">
        <f>IF(A143="","",IF('UT1'!$AC$71="Forcée","Forcée",IF('UT1'!$AC$71="Exclue","Exclue","Automatique")))</f>
        <v/>
      </c>
      <c r="L143" s="148" t="str">
        <f>IF(A143="","",IF('UT1'!$AC$71="Exclue","Exclu",IF('UT1'!$W$71&gt;=$B$3,"Actif - risque significatif",IF(AND('UT1'!$W$71&lt;$B$3,'UT1'!$AD$71="Oui"),"Maîtrisé / clôturable","Maîtrisé - à vérifier"))))</f>
        <v/>
      </c>
      <c r="M143" s="148" t="str">
        <f>IF(A143="","",IF('UT1'!$W$71&gt;=16,"P1 - Critique",IF('UT1'!$W$71&gt;=13,"P2 - Haute",IF('UT1'!$W$71&gt;=9,"P3 - Moyenne","P4 - Basse"))))</f>
        <v/>
      </c>
      <c r="N143" s="148"/>
      <c r="O143" s="148" t="str">
        <f>IF(A143="","",'UT1'!$X$71)</f>
        <v/>
      </c>
      <c r="P143" s="148"/>
      <c r="Q143" s="148"/>
      <c r="R143" s="148" t="str">
        <f>IF(A143="","",'UT1'!$Z$71)</f>
        <v/>
      </c>
      <c r="S143" s="148"/>
      <c r="T143" s="148"/>
      <c r="U143" s="149"/>
      <c r="V143" s="150"/>
      <c r="W143" s="150" t="str">
        <f>IF(A143="","",'UT1'!$Y$71)</f>
        <v/>
      </c>
      <c r="X143" s="148"/>
      <c r="Y143" s="148"/>
      <c r="Z143" s="148"/>
      <c r="AA143" s="148"/>
      <c r="AB143" s="148" t="str">
        <f>IF(A143="","",'UT1'!$AA$71)</f>
        <v/>
      </c>
      <c r="AC143" s="148" t="str">
        <f>IF(A143="","",'UT1'!$AD$71)</f>
        <v/>
      </c>
      <c r="AD143" s="150" t="str">
        <f>IF(A143="","",'UT1'!$AE$71)</f>
        <v/>
      </c>
      <c r="AE143" s="148"/>
      <c r="AF143" s="148"/>
      <c r="AG143" s="148" t="str">
        <f>IF(A143="","",'UT1'!$AF$71)</f>
        <v/>
      </c>
      <c r="AH143" s="151" t="str">
        <f t="shared" si="5"/>
        <v/>
      </c>
    </row>
    <row r="144" spans="1:34">
      <c r="A144" s="148" t="str">
        <f>IF(OR(IFERROR('UT1'!$W$72&gt;=$B$3,FALSE),'UT1'!$AC$72="Forcée",'UT1'!$X$72&lt;&gt;"",'UT1'!$AA$72&lt;&gt;""),"UT1-72","")</f>
        <v/>
      </c>
      <c r="B144" s="148" t="str">
        <f>IF(OR(IFERROR('UT1'!$W$72&gt;=$B$3,FALSE),'UT1'!$AC$72="Forcée",'UT1'!$X$72&lt;&gt;"",'UT1'!$AA$72&lt;&gt;""),"UT1","")</f>
        <v/>
      </c>
      <c r="C144" s="148" t="str">
        <f>IF(OR(IFERROR('UT1'!$W$72&gt;=$B$3,FALSE),'UT1'!$AC$72="Forcée",'UT1'!$X$72&lt;&gt;"",'UT1'!$AA$72&lt;&gt;""),'UT1'!$A$72,"")</f>
        <v/>
      </c>
      <c r="D144" s="148" t="str">
        <f>IF(OR(IFERROR('UT1'!$W$72&gt;=$B$3,FALSE),'UT1'!$AC$72="Forcée",'UT1'!$X$72&lt;&gt;"",'UT1'!$AA$72&lt;&gt;""),'UT1'!$B$72,"")</f>
        <v/>
      </c>
      <c r="E144" s="148" t="str">
        <f>IF(OR(IFERROR('UT1'!$W$72&gt;=$B$3,FALSE),'UT1'!$AC$72="Forcée",'UT1'!$X$72&lt;&gt;"",'UT1'!$AA$72&lt;&gt;""),'UT1'!$C$72,"")</f>
        <v/>
      </c>
      <c r="F144" s="148" t="str">
        <f>IF(OR(IFERROR('UT1'!$W$72&gt;=$B$3,FALSE),'UT1'!$AC$72="Forcée",'UT1'!$X$72&lt;&gt;"",'UT1'!$AA$72&lt;&gt;""),'UT1'!$D$72,"")</f>
        <v/>
      </c>
      <c r="G144" s="148" t="str">
        <f>IF(OR(IFERROR('UT1'!$W$72&gt;=$B$3,FALSE),'UT1'!$AC$72="Forcée",'UT1'!$X$72&lt;&gt;"",'UT1'!$AA$72&lt;&gt;""),'UT1'!$E$72,"")</f>
        <v/>
      </c>
      <c r="H144" s="148" t="str">
        <f>IF(OR(IFERROR('UT1'!$W$72&gt;=$B$3,FALSE),'UT1'!$AC$72="Forcée",'UT1'!$X$72&lt;&gt;"",'UT1'!$AA$72&lt;&gt;""),'UT1'!$H$72,"")</f>
        <v/>
      </c>
      <c r="I144" s="148" t="str">
        <f>IF(OR(IFERROR('UT1'!$W$72&gt;=$B$3,FALSE),'UT1'!$AC$72="Forcée",'UT1'!$X$72&lt;&gt;"",'UT1'!$AA$72&lt;&gt;""),'UT1'!$W$72,"")</f>
        <v/>
      </c>
      <c r="J144" s="148" t="str">
        <f t="shared" si="4"/>
        <v/>
      </c>
      <c r="K144" s="148" t="str">
        <f>IF(A144="","",IF('UT1'!$AC$72="Forcée","Forcée",IF('UT1'!$AC$72="Exclue","Exclue","Automatique")))</f>
        <v/>
      </c>
      <c r="L144" s="148" t="str">
        <f>IF(A144="","",IF('UT1'!$AC$72="Exclue","Exclu",IF('UT1'!$W$72&gt;=$B$3,"Actif - risque significatif",IF(AND('UT1'!$W$72&lt;$B$3,'UT1'!$AD$72="Oui"),"Maîtrisé / clôturable","Maîtrisé - à vérifier"))))</f>
        <v/>
      </c>
      <c r="M144" s="148" t="str">
        <f>IF(A144="","",IF('UT1'!$W$72&gt;=16,"P1 - Critique",IF('UT1'!$W$72&gt;=13,"P2 - Haute",IF('UT1'!$W$72&gt;=9,"P3 - Moyenne","P4 - Basse"))))</f>
        <v/>
      </c>
      <c r="N144" s="148"/>
      <c r="O144" s="148" t="str">
        <f>IF(A144="","",'UT1'!$X$72)</f>
        <v/>
      </c>
      <c r="P144" s="148"/>
      <c r="Q144" s="148"/>
      <c r="R144" s="148" t="str">
        <f>IF(A144="","",'UT1'!$Z$72)</f>
        <v/>
      </c>
      <c r="S144" s="148"/>
      <c r="T144" s="148"/>
      <c r="U144" s="149"/>
      <c r="V144" s="150"/>
      <c r="W144" s="150" t="str">
        <f>IF(A144="","",'UT1'!$Y$72)</f>
        <v/>
      </c>
      <c r="X144" s="148"/>
      <c r="Y144" s="148"/>
      <c r="Z144" s="148"/>
      <c r="AA144" s="148"/>
      <c r="AB144" s="148" t="str">
        <f>IF(A144="","",'UT1'!$AA$72)</f>
        <v/>
      </c>
      <c r="AC144" s="148" t="str">
        <f>IF(A144="","",'UT1'!$AD$72)</f>
        <v/>
      </c>
      <c r="AD144" s="150" t="str">
        <f>IF(A144="","",'UT1'!$AE$72)</f>
        <v/>
      </c>
      <c r="AE144" s="148"/>
      <c r="AF144" s="148"/>
      <c r="AG144" s="148" t="str">
        <f>IF(A144="","",'UT1'!$AF$72)</f>
        <v/>
      </c>
      <c r="AH144" s="151" t="str">
        <f t="shared" si="5"/>
        <v/>
      </c>
    </row>
    <row r="145" spans="1:34">
      <c r="A145" s="148" t="str">
        <f>IF(OR(IFERROR('UT1'!$W$73&gt;=$B$3,FALSE),'UT1'!$AC$73="Forcée",'UT1'!$X$73&lt;&gt;"",'UT1'!$AA$73&lt;&gt;""),"UT1-73","")</f>
        <v/>
      </c>
      <c r="B145" s="148" t="str">
        <f>IF(OR(IFERROR('UT1'!$W$73&gt;=$B$3,FALSE),'UT1'!$AC$73="Forcée",'UT1'!$X$73&lt;&gt;"",'UT1'!$AA$73&lt;&gt;""),"UT1","")</f>
        <v/>
      </c>
      <c r="C145" s="148" t="str">
        <f>IF(OR(IFERROR('UT1'!$W$73&gt;=$B$3,FALSE),'UT1'!$AC$73="Forcée",'UT1'!$X$73&lt;&gt;"",'UT1'!$AA$73&lt;&gt;""),'UT1'!$A$73,"")</f>
        <v/>
      </c>
      <c r="D145" s="148" t="str">
        <f>IF(OR(IFERROR('UT1'!$W$73&gt;=$B$3,FALSE),'UT1'!$AC$73="Forcée",'UT1'!$X$73&lt;&gt;"",'UT1'!$AA$73&lt;&gt;""),'UT1'!$B$73,"")</f>
        <v/>
      </c>
      <c r="E145" s="148" t="str">
        <f>IF(OR(IFERROR('UT1'!$W$73&gt;=$B$3,FALSE),'UT1'!$AC$73="Forcée",'UT1'!$X$73&lt;&gt;"",'UT1'!$AA$73&lt;&gt;""),'UT1'!$C$73,"")</f>
        <v/>
      </c>
      <c r="F145" s="148" t="str">
        <f>IF(OR(IFERROR('UT1'!$W$73&gt;=$B$3,FALSE),'UT1'!$AC$73="Forcée",'UT1'!$X$73&lt;&gt;"",'UT1'!$AA$73&lt;&gt;""),'UT1'!$D$73,"")</f>
        <v/>
      </c>
      <c r="G145" s="148" t="str">
        <f>IF(OR(IFERROR('UT1'!$W$73&gt;=$B$3,FALSE),'UT1'!$AC$73="Forcée",'UT1'!$X$73&lt;&gt;"",'UT1'!$AA$73&lt;&gt;""),'UT1'!$E$73,"")</f>
        <v/>
      </c>
      <c r="H145" s="148" t="str">
        <f>IF(OR(IFERROR('UT1'!$W$73&gt;=$B$3,FALSE),'UT1'!$AC$73="Forcée",'UT1'!$X$73&lt;&gt;"",'UT1'!$AA$73&lt;&gt;""),'UT1'!$H$73,"")</f>
        <v/>
      </c>
      <c r="I145" s="148" t="str">
        <f>IF(OR(IFERROR('UT1'!$W$73&gt;=$B$3,FALSE),'UT1'!$AC$73="Forcée",'UT1'!$X$73&lt;&gt;"",'UT1'!$AA$73&lt;&gt;""),'UT1'!$W$73,"")</f>
        <v/>
      </c>
      <c r="J145" s="148" t="str">
        <f t="shared" si="4"/>
        <v/>
      </c>
      <c r="K145" s="148" t="str">
        <f>IF(A145="","",IF('UT1'!$AC$73="Forcée","Forcée",IF('UT1'!$AC$73="Exclue","Exclue","Automatique")))</f>
        <v/>
      </c>
      <c r="L145" s="148" t="str">
        <f>IF(A145="","",IF('UT1'!$AC$73="Exclue","Exclu",IF('UT1'!$W$73&gt;=$B$3,"Actif - risque significatif",IF(AND('UT1'!$W$73&lt;$B$3,'UT1'!$AD$73="Oui"),"Maîtrisé / clôturable","Maîtrisé - à vérifier"))))</f>
        <v/>
      </c>
      <c r="M145" s="148" t="str">
        <f>IF(A145="","",IF('UT1'!$W$73&gt;=16,"P1 - Critique",IF('UT1'!$W$73&gt;=13,"P2 - Haute",IF('UT1'!$W$73&gt;=9,"P3 - Moyenne","P4 - Basse"))))</f>
        <v/>
      </c>
      <c r="N145" s="148"/>
      <c r="O145" s="148" t="str">
        <f>IF(A145="","",'UT1'!$X$73)</f>
        <v/>
      </c>
      <c r="P145" s="148"/>
      <c r="Q145" s="148"/>
      <c r="R145" s="148" t="str">
        <f>IF(A145="","",'UT1'!$Z$73)</f>
        <v/>
      </c>
      <c r="S145" s="148"/>
      <c r="T145" s="148"/>
      <c r="U145" s="149"/>
      <c r="V145" s="150"/>
      <c r="W145" s="150" t="str">
        <f>IF(A145="","",'UT1'!$Y$73)</f>
        <v/>
      </c>
      <c r="X145" s="148"/>
      <c r="Y145" s="148"/>
      <c r="Z145" s="148"/>
      <c r="AA145" s="148"/>
      <c r="AB145" s="148" t="str">
        <f>IF(A145="","",'UT1'!$AA$73)</f>
        <v/>
      </c>
      <c r="AC145" s="148" t="str">
        <f>IF(A145="","",'UT1'!$AD$73)</f>
        <v/>
      </c>
      <c r="AD145" s="150" t="str">
        <f>IF(A145="","",'UT1'!$AE$73)</f>
        <v/>
      </c>
      <c r="AE145" s="148"/>
      <c r="AF145" s="148"/>
      <c r="AG145" s="148" t="str">
        <f>IF(A145="","",'UT1'!$AF$73)</f>
        <v/>
      </c>
      <c r="AH145" s="151" t="str">
        <f t="shared" si="5"/>
        <v/>
      </c>
    </row>
    <row r="146" spans="1:34">
      <c r="A146" s="148" t="str">
        <f>IF(OR(IFERROR('UT1'!$W$74&gt;=$B$3,FALSE),'UT1'!$AC$74="Forcée",'UT1'!$X$74&lt;&gt;"",'UT1'!$AA$74&lt;&gt;""),"UT1-74","")</f>
        <v/>
      </c>
      <c r="B146" s="148" t="str">
        <f>IF(OR(IFERROR('UT1'!$W$74&gt;=$B$3,FALSE),'UT1'!$AC$74="Forcée",'UT1'!$X$74&lt;&gt;"",'UT1'!$AA$74&lt;&gt;""),"UT1","")</f>
        <v/>
      </c>
      <c r="C146" s="148" t="str">
        <f>IF(OR(IFERROR('UT1'!$W$74&gt;=$B$3,FALSE),'UT1'!$AC$74="Forcée",'UT1'!$X$74&lt;&gt;"",'UT1'!$AA$74&lt;&gt;""),'UT1'!$A$74,"")</f>
        <v/>
      </c>
      <c r="D146" s="148" t="str">
        <f>IF(OR(IFERROR('UT1'!$W$74&gt;=$B$3,FALSE),'UT1'!$AC$74="Forcée",'UT1'!$X$74&lt;&gt;"",'UT1'!$AA$74&lt;&gt;""),'UT1'!$B$74,"")</f>
        <v/>
      </c>
      <c r="E146" s="148" t="str">
        <f>IF(OR(IFERROR('UT1'!$W$74&gt;=$B$3,FALSE),'UT1'!$AC$74="Forcée",'UT1'!$X$74&lt;&gt;"",'UT1'!$AA$74&lt;&gt;""),'UT1'!$C$74,"")</f>
        <v/>
      </c>
      <c r="F146" s="148" t="str">
        <f>IF(OR(IFERROR('UT1'!$W$74&gt;=$B$3,FALSE),'UT1'!$AC$74="Forcée",'UT1'!$X$74&lt;&gt;"",'UT1'!$AA$74&lt;&gt;""),'UT1'!$D$74,"")</f>
        <v/>
      </c>
      <c r="G146" s="148" t="str">
        <f>IF(OR(IFERROR('UT1'!$W$74&gt;=$B$3,FALSE),'UT1'!$AC$74="Forcée",'UT1'!$X$74&lt;&gt;"",'UT1'!$AA$74&lt;&gt;""),'UT1'!$E$74,"")</f>
        <v/>
      </c>
      <c r="H146" s="148" t="str">
        <f>IF(OR(IFERROR('UT1'!$W$74&gt;=$B$3,FALSE),'UT1'!$AC$74="Forcée",'UT1'!$X$74&lt;&gt;"",'UT1'!$AA$74&lt;&gt;""),'UT1'!$H$74,"")</f>
        <v/>
      </c>
      <c r="I146" s="148" t="str">
        <f>IF(OR(IFERROR('UT1'!$W$74&gt;=$B$3,FALSE),'UT1'!$AC$74="Forcée",'UT1'!$X$74&lt;&gt;"",'UT1'!$AA$74&lt;&gt;""),'UT1'!$W$74,"")</f>
        <v/>
      </c>
      <c r="J146" s="148" t="str">
        <f t="shared" si="4"/>
        <v/>
      </c>
      <c r="K146" s="148" t="str">
        <f>IF(A146="","",IF('UT1'!$AC$74="Forcée","Forcée",IF('UT1'!$AC$74="Exclue","Exclue","Automatique")))</f>
        <v/>
      </c>
      <c r="L146" s="148" t="str">
        <f>IF(A146="","",IF('UT1'!$AC$74="Exclue","Exclu",IF('UT1'!$W$74&gt;=$B$3,"Actif - risque significatif",IF(AND('UT1'!$W$74&lt;$B$3,'UT1'!$AD$74="Oui"),"Maîtrisé / clôturable","Maîtrisé - à vérifier"))))</f>
        <v/>
      </c>
      <c r="M146" s="148" t="str">
        <f>IF(A146="","",IF('UT1'!$W$74&gt;=16,"P1 - Critique",IF('UT1'!$W$74&gt;=13,"P2 - Haute",IF('UT1'!$W$74&gt;=9,"P3 - Moyenne","P4 - Basse"))))</f>
        <v/>
      </c>
      <c r="N146" s="148"/>
      <c r="O146" s="148" t="str">
        <f>IF(A146="","",'UT1'!$X$74)</f>
        <v/>
      </c>
      <c r="P146" s="148"/>
      <c r="Q146" s="148"/>
      <c r="R146" s="148" t="str">
        <f>IF(A146="","",'UT1'!$Z$74)</f>
        <v/>
      </c>
      <c r="S146" s="148"/>
      <c r="T146" s="148"/>
      <c r="U146" s="149"/>
      <c r="V146" s="150"/>
      <c r="W146" s="150" t="str">
        <f>IF(A146="","",'UT1'!$Y$74)</f>
        <v/>
      </c>
      <c r="X146" s="148"/>
      <c r="Y146" s="148"/>
      <c r="Z146" s="148"/>
      <c r="AA146" s="148"/>
      <c r="AB146" s="148" t="str">
        <f>IF(A146="","",'UT1'!$AA$74)</f>
        <v/>
      </c>
      <c r="AC146" s="148" t="str">
        <f>IF(A146="","",'UT1'!$AD$74)</f>
        <v/>
      </c>
      <c r="AD146" s="150" t="str">
        <f>IF(A146="","",'UT1'!$AE$74)</f>
        <v/>
      </c>
      <c r="AE146" s="148"/>
      <c r="AF146" s="148"/>
      <c r="AG146" s="148" t="str">
        <f>IF(A146="","",'UT1'!$AF$74)</f>
        <v/>
      </c>
      <c r="AH146" s="151" t="str">
        <f t="shared" si="5"/>
        <v/>
      </c>
    </row>
    <row r="147" spans="1:34">
      <c r="A147" s="148" t="str">
        <f>IF(OR(IFERROR('UT1'!$W$75&gt;=$B$3,FALSE),'UT1'!$AC$75="Forcée",'UT1'!$X$75&lt;&gt;"",'UT1'!$AA$75&lt;&gt;""),"UT1-75","")</f>
        <v/>
      </c>
      <c r="B147" s="148" t="str">
        <f>IF(OR(IFERROR('UT1'!$W$75&gt;=$B$3,FALSE),'UT1'!$AC$75="Forcée",'UT1'!$X$75&lt;&gt;"",'UT1'!$AA$75&lt;&gt;""),"UT1","")</f>
        <v/>
      </c>
      <c r="C147" s="148" t="str">
        <f>IF(OR(IFERROR('UT1'!$W$75&gt;=$B$3,FALSE),'UT1'!$AC$75="Forcée",'UT1'!$X$75&lt;&gt;"",'UT1'!$AA$75&lt;&gt;""),'UT1'!$A$75,"")</f>
        <v/>
      </c>
      <c r="D147" s="148" t="str">
        <f>IF(OR(IFERROR('UT1'!$W$75&gt;=$B$3,FALSE),'UT1'!$AC$75="Forcée",'UT1'!$X$75&lt;&gt;"",'UT1'!$AA$75&lt;&gt;""),'UT1'!$B$75,"")</f>
        <v/>
      </c>
      <c r="E147" s="148" t="str">
        <f>IF(OR(IFERROR('UT1'!$W$75&gt;=$B$3,FALSE),'UT1'!$AC$75="Forcée",'UT1'!$X$75&lt;&gt;"",'UT1'!$AA$75&lt;&gt;""),'UT1'!$C$75,"")</f>
        <v/>
      </c>
      <c r="F147" s="148" t="str">
        <f>IF(OR(IFERROR('UT1'!$W$75&gt;=$B$3,FALSE),'UT1'!$AC$75="Forcée",'UT1'!$X$75&lt;&gt;"",'UT1'!$AA$75&lt;&gt;""),'UT1'!$D$75,"")</f>
        <v/>
      </c>
      <c r="G147" s="148" t="str">
        <f>IF(OR(IFERROR('UT1'!$W$75&gt;=$B$3,FALSE),'UT1'!$AC$75="Forcée",'UT1'!$X$75&lt;&gt;"",'UT1'!$AA$75&lt;&gt;""),'UT1'!$E$75,"")</f>
        <v/>
      </c>
      <c r="H147" s="148" t="str">
        <f>IF(OR(IFERROR('UT1'!$W$75&gt;=$B$3,FALSE),'UT1'!$AC$75="Forcée",'UT1'!$X$75&lt;&gt;"",'UT1'!$AA$75&lt;&gt;""),'UT1'!$H$75,"")</f>
        <v/>
      </c>
      <c r="I147" s="148" t="str">
        <f>IF(OR(IFERROR('UT1'!$W$75&gt;=$B$3,FALSE),'UT1'!$AC$75="Forcée",'UT1'!$X$75&lt;&gt;"",'UT1'!$AA$75&lt;&gt;""),'UT1'!$W$75,"")</f>
        <v/>
      </c>
      <c r="J147" s="148" t="str">
        <f t="shared" si="4"/>
        <v/>
      </c>
      <c r="K147" s="148" t="str">
        <f>IF(A147="","",IF('UT1'!$AC$75="Forcée","Forcée",IF('UT1'!$AC$75="Exclue","Exclue","Automatique")))</f>
        <v/>
      </c>
      <c r="L147" s="148" t="str">
        <f>IF(A147="","",IF('UT1'!$AC$75="Exclue","Exclu",IF('UT1'!$W$75&gt;=$B$3,"Actif - risque significatif",IF(AND('UT1'!$W$75&lt;$B$3,'UT1'!$AD$75="Oui"),"Maîtrisé / clôturable","Maîtrisé - à vérifier"))))</f>
        <v/>
      </c>
      <c r="M147" s="148" t="str">
        <f>IF(A147="","",IF('UT1'!$W$75&gt;=16,"P1 - Critique",IF('UT1'!$W$75&gt;=13,"P2 - Haute",IF('UT1'!$W$75&gt;=9,"P3 - Moyenne","P4 - Basse"))))</f>
        <v/>
      </c>
      <c r="N147" s="148"/>
      <c r="O147" s="148" t="str">
        <f>IF(A147="","",'UT1'!$X$75)</f>
        <v/>
      </c>
      <c r="P147" s="148"/>
      <c r="Q147" s="148"/>
      <c r="R147" s="148" t="str">
        <f>IF(A147="","",'UT1'!$Z$75)</f>
        <v/>
      </c>
      <c r="S147" s="148"/>
      <c r="T147" s="148"/>
      <c r="U147" s="149"/>
      <c r="V147" s="150"/>
      <c r="W147" s="150" t="str">
        <f>IF(A147="","",'UT1'!$Y$75)</f>
        <v/>
      </c>
      <c r="X147" s="148"/>
      <c r="Y147" s="148"/>
      <c r="Z147" s="148"/>
      <c r="AA147" s="148"/>
      <c r="AB147" s="148" t="str">
        <f>IF(A147="","",'UT1'!$AA$75)</f>
        <v/>
      </c>
      <c r="AC147" s="148" t="str">
        <f>IF(A147="","",'UT1'!$AD$75)</f>
        <v/>
      </c>
      <c r="AD147" s="150" t="str">
        <f>IF(A147="","",'UT1'!$AE$75)</f>
        <v/>
      </c>
      <c r="AE147" s="148"/>
      <c r="AF147" s="148"/>
      <c r="AG147" s="148" t="str">
        <f>IF(A147="","",'UT1'!$AF$75)</f>
        <v/>
      </c>
      <c r="AH147" s="151" t="str">
        <f t="shared" si="5"/>
        <v/>
      </c>
    </row>
    <row r="148" spans="1:34">
      <c r="A148" s="148" t="str">
        <f>IF(OR(IFERROR('UT1'!$W$76&gt;=$B$3,FALSE),'UT1'!$AC$76="Forcée",'UT1'!$X$76&lt;&gt;"",'UT1'!$AA$76&lt;&gt;""),"UT1-76","")</f>
        <v/>
      </c>
      <c r="B148" s="148" t="str">
        <f>IF(OR(IFERROR('UT1'!$W$76&gt;=$B$3,FALSE),'UT1'!$AC$76="Forcée",'UT1'!$X$76&lt;&gt;"",'UT1'!$AA$76&lt;&gt;""),"UT1","")</f>
        <v/>
      </c>
      <c r="C148" s="148" t="str">
        <f>IF(OR(IFERROR('UT1'!$W$76&gt;=$B$3,FALSE),'UT1'!$AC$76="Forcée",'UT1'!$X$76&lt;&gt;"",'UT1'!$AA$76&lt;&gt;""),'UT1'!$A$76,"")</f>
        <v/>
      </c>
      <c r="D148" s="148" t="str">
        <f>IF(OR(IFERROR('UT1'!$W$76&gt;=$B$3,FALSE),'UT1'!$AC$76="Forcée",'UT1'!$X$76&lt;&gt;"",'UT1'!$AA$76&lt;&gt;""),'UT1'!$B$76,"")</f>
        <v/>
      </c>
      <c r="E148" s="148" t="str">
        <f>IF(OR(IFERROR('UT1'!$W$76&gt;=$B$3,FALSE),'UT1'!$AC$76="Forcée",'UT1'!$X$76&lt;&gt;"",'UT1'!$AA$76&lt;&gt;""),'UT1'!$C$76,"")</f>
        <v/>
      </c>
      <c r="F148" s="148" t="str">
        <f>IF(OR(IFERROR('UT1'!$W$76&gt;=$B$3,FALSE),'UT1'!$AC$76="Forcée",'UT1'!$X$76&lt;&gt;"",'UT1'!$AA$76&lt;&gt;""),'UT1'!$D$76,"")</f>
        <v/>
      </c>
      <c r="G148" s="148" t="str">
        <f>IF(OR(IFERROR('UT1'!$W$76&gt;=$B$3,FALSE),'UT1'!$AC$76="Forcée",'UT1'!$X$76&lt;&gt;"",'UT1'!$AA$76&lt;&gt;""),'UT1'!$E$76,"")</f>
        <v/>
      </c>
      <c r="H148" s="148" t="str">
        <f>IF(OR(IFERROR('UT1'!$W$76&gt;=$B$3,FALSE),'UT1'!$AC$76="Forcée",'UT1'!$X$76&lt;&gt;"",'UT1'!$AA$76&lt;&gt;""),'UT1'!$H$76,"")</f>
        <v/>
      </c>
      <c r="I148" s="148" t="str">
        <f>IF(OR(IFERROR('UT1'!$W$76&gt;=$B$3,FALSE),'UT1'!$AC$76="Forcée",'UT1'!$X$76&lt;&gt;"",'UT1'!$AA$76&lt;&gt;""),'UT1'!$W$76,"")</f>
        <v/>
      </c>
      <c r="J148" s="148" t="str">
        <f t="shared" si="4"/>
        <v/>
      </c>
      <c r="K148" s="148" t="str">
        <f>IF(A148="","",IF('UT1'!$AC$76="Forcée","Forcée",IF('UT1'!$AC$76="Exclue","Exclue","Automatique")))</f>
        <v/>
      </c>
      <c r="L148" s="148" t="str">
        <f>IF(A148="","",IF('UT1'!$AC$76="Exclue","Exclu",IF('UT1'!$W$76&gt;=$B$3,"Actif - risque significatif",IF(AND('UT1'!$W$76&lt;$B$3,'UT1'!$AD$76="Oui"),"Maîtrisé / clôturable","Maîtrisé - à vérifier"))))</f>
        <v/>
      </c>
      <c r="M148" s="148" t="str">
        <f>IF(A148="","",IF('UT1'!$W$76&gt;=16,"P1 - Critique",IF('UT1'!$W$76&gt;=13,"P2 - Haute",IF('UT1'!$W$76&gt;=9,"P3 - Moyenne","P4 - Basse"))))</f>
        <v/>
      </c>
      <c r="N148" s="148"/>
      <c r="O148" s="148" t="str">
        <f>IF(A148="","",'UT1'!$X$76)</f>
        <v/>
      </c>
      <c r="P148" s="148"/>
      <c r="Q148" s="148"/>
      <c r="R148" s="148" t="str">
        <f>IF(A148="","",'UT1'!$Z$76)</f>
        <v/>
      </c>
      <c r="S148" s="148"/>
      <c r="T148" s="148"/>
      <c r="U148" s="149"/>
      <c r="V148" s="150"/>
      <c r="W148" s="150" t="str">
        <f>IF(A148="","",'UT1'!$Y$76)</f>
        <v/>
      </c>
      <c r="X148" s="148"/>
      <c r="Y148" s="148"/>
      <c r="Z148" s="148"/>
      <c r="AA148" s="148"/>
      <c r="AB148" s="148" t="str">
        <f>IF(A148="","",'UT1'!$AA$76)</f>
        <v/>
      </c>
      <c r="AC148" s="148" t="str">
        <f>IF(A148="","",'UT1'!$AD$76)</f>
        <v/>
      </c>
      <c r="AD148" s="150" t="str">
        <f>IF(A148="","",'UT1'!$AE$76)</f>
        <v/>
      </c>
      <c r="AE148" s="148"/>
      <c r="AF148" s="148"/>
      <c r="AG148" s="148" t="str">
        <f>IF(A148="","",'UT1'!$AF$76)</f>
        <v/>
      </c>
      <c r="AH148" s="151" t="str">
        <f t="shared" si="5"/>
        <v/>
      </c>
    </row>
    <row r="149" spans="1:34">
      <c r="A149" s="148" t="str">
        <f>IF(OR(IFERROR('UT1'!$W$77&gt;=$B$3,FALSE),'UT1'!$AC$77="Forcée",'UT1'!$X$77&lt;&gt;"",'UT1'!$AA$77&lt;&gt;""),"UT1-77","")</f>
        <v/>
      </c>
      <c r="B149" s="148" t="str">
        <f>IF(OR(IFERROR('UT1'!$W$77&gt;=$B$3,FALSE),'UT1'!$AC$77="Forcée",'UT1'!$X$77&lt;&gt;"",'UT1'!$AA$77&lt;&gt;""),"UT1","")</f>
        <v/>
      </c>
      <c r="C149" s="148" t="str">
        <f>IF(OR(IFERROR('UT1'!$W$77&gt;=$B$3,FALSE),'UT1'!$AC$77="Forcée",'UT1'!$X$77&lt;&gt;"",'UT1'!$AA$77&lt;&gt;""),'UT1'!$A$77,"")</f>
        <v/>
      </c>
      <c r="D149" s="148" t="str">
        <f>IF(OR(IFERROR('UT1'!$W$77&gt;=$B$3,FALSE),'UT1'!$AC$77="Forcée",'UT1'!$X$77&lt;&gt;"",'UT1'!$AA$77&lt;&gt;""),'UT1'!$B$77,"")</f>
        <v/>
      </c>
      <c r="E149" s="148" t="str">
        <f>IF(OR(IFERROR('UT1'!$W$77&gt;=$B$3,FALSE),'UT1'!$AC$77="Forcée",'UT1'!$X$77&lt;&gt;"",'UT1'!$AA$77&lt;&gt;""),'UT1'!$C$77,"")</f>
        <v/>
      </c>
      <c r="F149" s="148" t="str">
        <f>IF(OR(IFERROR('UT1'!$W$77&gt;=$B$3,FALSE),'UT1'!$AC$77="Forcée",'UT1'!$X$77&lt;&gt;"",'UT1'!$AA$77&lt;&gt;""),'UT1'!$D$77,"")</f>
        <v/>
      </c>
      <c r="G149" s="148" t="str">
        <f>IF(OR(IFERROR('UT1'!$W$77&gt;=$B$3,FALSE),'UT1'!$AC$77="Forcée",'UT1'!$X$77&lt;&gt;"",'UT1'!$AA$77&lt;&gt;""),'UT1'!$E$77,"")</f>
        <v/>
      </c>
      <c r="H149" s="148" t="str">
        <f>IF(OR(IFERROR('UT1'!$W$77&gt;=$B$3,FALSE),'UT1'!$AC$77="Forcée",'UT1'!$X$77&lt;&gt;"",'UT1'!$AA$77&lt;&gt;""),'UT1'!$H$77,"")</f>
        <v/>
      </c>
      <c r="I149" s="148" t="str">
        <f>IF(OR(IFERROR('UT1'!$W$77&gt;=$B$3,FALSE),'UT1'!$AC$77="Forcée",'UT1'!$X$77&lt;&gt;"",'UT1'!$AA$77&lt;&gt;""),'UT1'!$W$77,"")</f>
        <v/>
      </c>
      <c r="J149" s="148" t="str">
        <f t="shared" si="4"/>
        <v/>
      </c>
      <c r="K149" s="148" t="str">
        <f>IF(A149="","",IF('UT1'!$AC$77="Forcée","Forcée",IF('UT1'!$AC$77="Exclue","Exclue","Automatique")))</f>
        <v/>
      </c>
      <c r="L149" s="148" t="str">
        <f>IF(A149="","",IF('UT1'!$AC$77="Exclue","Exclu",IF('UT1'!$W$77&gt;=$B$3,"Actif - risque significatif",IF(AND('UT1'!$W$77&lt;$B$3,'UT1'!$AD$77="Oui"),"Maîtrisé / clôturable","Maîtrisé - à vérifier"))))</f>
        <v/>
      </c>
      <c r="M149" s="148" t="str">
        <f>IF(A149="","",IF('UT1'!$W$77&gt;=16,"P1 - Critique",IF('UT1'!$W$77&gt;=13,"P2 - Haute",IF('UT1'!$W$77&gt;=9,"P3 - Moyenne","P4 - Basse"))))</f>
        <v/>
      </c>
      <c r="N149" s="148"/>
      <c r="O149" s="148" t="str">
        <f>IF(A149="","",'UT1'!$X$77)</f>
        <v/>
      </c>
      <c r="P149" s="148"/>
      <c r="Q149" s="148"/>
      <c r="R149" s="148" t="str">
        <f>IF(A149="","",'UT1'!$Z$77)</f>
        <v/>
      </c>
      <c r="S149" s="148"/>
      <c r="T149" s="148"/>
      <c r="U149" s="149"/>
      <c r="V149" s="150"/>
      <c r="W149" s="150" t="str">
        <f>IF(A149="","",'UT1'!$Y$77)</f>
        <v/>
      </c>
      <c r="X149" s="148"/>
      <c r="Y149" s="148"/>
      <c r="Z149" s="148"/>
      <c r="AA149" s="148"/>
      <c r="AB149" s="148" t="str">
        <f>IF(A149="","",'UT1'!$AA$77)</f>
        <v/>
      </c>
      <c r="AC149" s="148" t="str">
        <f>IF(A149="","",'UT1'!$AD$77)</f>
        <v/>
      </c>
      <c r="AD149" s="150" t="str">
        <f>IF(A149="","",'UT1'!$AE$77)</f>
        <v/>
      </c>
      <c r="AE149" s="148"/>
      <c r="AF149" s="148"/>
      <c r="AG149" s="148" t="str">
        <f>IF(A149="","",'UT1'!$AF$77)</f>
        <v/>
      </c>
      <c r="AH149" s="151" t="str">
        <f t="shared" si="5"/>
        <v/>
      </c>
    </row>
    <row r="150" spans="1:34">
      <c r="A150" s="148" t="str">
        <f>IF(OR(IFERROR('UT2'!$W$6&gt;=$B$3,FALSE),'UT2'!$AC$6="Forcée",'UT2'!$X$6&lt;&gt;"",'UT2'!$AA$6&lt;&gt;""),"UT2-6","")</f>
        <v/>
      </c>
      <c r="B150" s="148" t="str">
        <f>IF(OR(IFERROR('UT2'!$W$6&gt;=$B$3,FALSE),'UT2'!$AC$6="Forcée",'UT2'!$X$6&lt;&gt;"",'UT2'!$AA$6&lt;&gt;""),"UT2","")</f>
        <v/>
      </c>
      <c r="C150" s="148" t="str">
        <f>IF(OR(IFERROR('UT2'!$W$6&gt;=$B$3,FALSE),'UT2'!$AC$6="Forcée",'UT2'!$X$6&lt;&gt;"",'UT2'!$AA$6&lt;&gt;""),'UT2'!$A$6,"")</f>
        <v/>
      </c>
      <c r="D150" s="148" t="str">
        <f>IF(OR(IFERROR('UT2'!$W$6&gt;=$B$3,FALSE),'UT2'!$AC$6="Forcée",'UT2'!$X$6&lt;&gt;"",'UT2'!$AA$6&lt;&gt;""),'UT2'!$B$6,"")</f>
        <v/>
      </c>
      <c r="E150" s="148" t="str">
        <f>IF(OR(IFERROR('UT2'!$W$6&gt;=$B$3,FALSE),'UT2'!$AC$6="Forcée",'UT2'!$X$6&lt;&gt;"",'UT2'!$AA$6&lt;&gt;""),'UT2'!$C$6,"")</f>
        <v/>
      </c>
      <c r="F150" s="148" t="str">
        <f>IF(OR(IFERROR('UT2'!$W$6&gt;=$B$3,FALSE),'UT2'!$AC$6="Forcée",'UT2'!$X$6&lt;&gt;"",'UT2'!$AA$6&lt;&gt;""),'UT2'!$D$6,"")</f>
        <v/>
      </c>
      <c r="G150" s="148" t="str">
        <f>IF(OR(IFERROR('UT2'!$W$6&gt;=$B$3,FALSE),'UT2'!$AC$6="Forcée",'UT2'!$X$6&lt;&gt;"",'UT2'!$AA$6&lt;&gt;""),'UT2'!$E$6,"")</f>
        <v/>
      </c>
      <c r="H150" s="148" t="str">
        <f>IF(OR(IFERROR('UT2'!$W$6&gt;=$B$3,FALSE),'UT2'!$AC$6="Forcée",'UT2'!$X$6&lt;&gt;"",'UT2'!$AA$6&lt;&gt;""),'UT2'!$H$6,"")</f>
        <v/>
      </c>
      <c r="I150" s="148" t="str">
        <f>IF(OR(IFERROR('UT2'!$W$6&gt;=$B$3,FALSE),'UT2'!$AC$6="Forcée",'UT2'!$X$6&lt;&gt;"",'UT2'!$AA$6&lt;&gt;""),'UT2'!$W$6,"")</f>
        <v/>
      </c>
      <c r="J150" s="148" t="str">
        <f t="shared" si="4"/>
        <v/>
      </c>
      <c r="K150" s="148" t="str">
        <f>IF(A150="","",IF('UT2'!$AC$6="Forcée","Forcée",IF('UT2'!$AC$6="Exclue","Exclue","Automatique")))</f>
        <v/>
      </c>
      <c r="L150" s="148" t="str">
        <f>IF(A150="","",IF('UT2'!$AC$6="Exclue","Exclu",IF('UT2'!$W$6&gt;=$B$3,"Actif - risque significatif",IF(AND('UT2'!$W$6&lt;$B$3,'UT2'!$AD$6="Oui"),"Maîtrisé / clôturable","Maîtrisé - à vérifier"))))</f>
        <v/>
      </c>
      <c r="M150" s="148" t="str">
        <f>IF(A150="","",IF('UT2'!$W$6&gt;=16,"P1 - Critique",IF('UT2'!$W$6&gt;=13,"P2 - Haute",IF('UT2'!$W$6&gt;=9,"P3 - Moyenne","P4 - Basse"))))</f>
        <v/>
      </c>
      <c r="N150" s="148"/>
      <c r="O150" s="148" t="str">
        <f>IF(A150="","",'UT2'!$X$6)</f>
        <v/>
      </c>
      <c r="P150" s="148"/>
      <c r="Q150" s="148"/>
      <c r="R150" s="148" t="str">
        <f>IF(A150="","",'UT2'!$Z$6)</f>
        <v/>
      </c>
      <c r="S150" s="148"/>
      <c r="T150" s="148"/>
      <c r="U150" s="149"/>
      <c r="V150" s="150"/>
      <c r="W150" s="150" t="str">
        <f>IF(A150="","",'UT2'!$Y$6)</f>
        <v/>
      </c>
      <c r="X150" s="148"/>
      <c r="Y150" s="148"/>
      <c r="Z150" s="148"/>
      <c r="AA150" s="148"/>
      <c r="AB150" s="148" t="str">
        <f>IF(A150="","",'UT2'!$AA$6)</f>
        <v/>
      </c>
      <c r="AC150" s="148" t="str">
        <f>IF(A150="","",'UT2'!$AD$6)</f>
        <v/>
      </c>
      <c r="AD150" s="150" t="str">
        <f>IF(A150="","",'UT2'!$AE$6)</f>
        <v/>
      </c>
      <c r="AE150" s="148"/>
      <c r="AF150" s="148"/>
      <c r="AG150" s="148" t="str">
        <f>IF(A150="","",'UT2'!$AF$6)</f>
        <v/>
      </c>
      <c r="AH150" s="151" t="str">
        <f t="shared" si="5"/>
        <v/>
      </c>
    </row>
    <row r="151" spans="1:34">
      <c r="A151" s="148" t="str">
        <f>IF(OR(IFERROR('UT2'!$W$7&gt;=$B$3,FALSE),'UT2'!$AC$7="Forcée",'UT2'!$X$7&lt;&gt;"",'UT2'!$AA$7&lt;&gt;""),"UT2-7","")</f>
        <v/>
      </c>
      <c r="B151" s="148" t="str">
        <f>IF(OR(IFERROR('UT2'!$W$7&gt;=$B$3,FALSE),'UT2'!$AC$7="Forcée",'UT2'!$X$7&lt;&gt;"",'UT2'!$AA$7&lt;&gt;""),"UT2","")</f>
        <v/>
      </c>
      <c r="C151" s="148" t="str">
        <f>IF(OR(IFERROR('UT2'!$W$7&gt;=$B$3,FALSE),'UT2'!$AC$7="Forcée",'UT2'!$X$7&lt;&gt;"",'UT2'!$AA$7&lt;&gt;""),'UT2'!$A$7,"")</f>
        <v/>
      </c>
      <c r="D151" s="148" t="str">
        <f>IF(OR(IFERROR('UT2'!$W$7&gt;=$B$3,FALSE),'UT2'!$AC$7="Forcée",'UT2'!$X$7&lt;&gt;"",'UT2'!$AA$7&lt;&gt;""),'UT2'!$B$7,"")</f>
        <v/>
      </c>
      <c r="E151" s="148" t="str">
        <f>IF(OR(IFERROR('UT2'!$W$7&gt;=$B$3,FALSE),'UT2'!$AC$7="Forcée",'UT2'!$X$7&lt;&gt;"",'UT2'!$AA$7&lt;&gt;""),'UT2'!$C$7,"")</f>
        <v/>
      </c>
      <c r="F151" s="148" t="str">
        <f>IF(OR(IFERROR('UT2'!$W$7&gt;=$B$3,FALSE),'UT2'!$AC$7="Forcée",'UT2'!$X$7&lt;&gt;"",'UT2'!$AA$7&lt;&gt;""),'UT2'!$D$7,"")</f>
        <v/>
      </c>
      <c r="G151" s="148" t="str">
        <f>IF(OR(IFERROR('UT2'!$W$7&gt;=$B$3,FALSE),'UT2'!$AC$7="Forcée",'UT2'!$X$7&lt;&gt;"",'UT2'!$AA$7&lt;&gt;""),'UT2'!$E$7,"")</f>
        <v/>
      </c>
      <c r="H151" s="148" t="str">
        <f>IF(OR(IFERROR('UT2'!$W$7&gt;=$B$3,FALSE),'UT2'!$AC$7="Forcée",'UT2'!$X$7&lt;&gt;"",'UT2'!$AA$7&lt;&gt;""),'UT2'!$H$7,"")</f>
        <v/>
      </c>
      <c r="I151" s="148" t="str">
        <f>IF(OR(IFERROR('UT2'!$W$7&gt;=$B$3,FALSE),'UT2'!$AC$7="Forcée",'UT2'!$X$7&lt;&gt;"",'UT2'!$AA$7&lt;&gt;""),'UT2'!$W$7,"")</f>
        <v/>
      </c>
      <c r="J151" s="148" t="str">
        <f t="shared" si="4"/>
        <v/>
      </c>
      <c r="K151" s="148" t="str">
        <f>IF(A151="","",IF('UT2'!$AC$7="Forcée","Forcée",IF('UT2'!$AC$7="Exclue","Exclue","Automatique")))</f>
        <v/>
      </c>
      <c r="L151" s="148" t="str">
        <f>IF(A151="","",IF('UT2'!$AC$7="Exclue","Exclu",IF('UT2'!$W$7&gt;=$B$3,"Actif - risque significatif",IF(AND('UT2'!$W$7&lt;$B$3,'UT2'!$AD$7="Oui"),"Maîtrisé / clôturable","Maîtrisé - à vérifier"))))</f>
        <v/>
      </c>
      <c r="M151" s="148" t="str">
        <f>IF(A151="","",IF('UT2'!$W$7&gt;=16,"P1 - Critique",IF('UT2'!$W$7&gt;=13,"P2 - Haute",IF('UT2'!$W$7&gt;=9,"P3 - Moyenne","P4 - Basse"))))</f>
        <v/>
      </c>
      <c r="N151" s="148"/>
      <c r="O151" s="148" t="str">
        <f>IF(A151="","",'UT2'!$X$7)</f>
        <v/>
      </c>
      <c r="P151" s="148"/>
      <c r="Q151" s="148"/>
      <c r="R151" s="148" t="str">
        <f>IF(A151="","",'UT2'!$Z$7)</f>
        <v/>
      </c>
      <c r="S151" s="148"/>
      <c r="T151" s="148"/>
      <c r="U151" s="149"/>
      <c r="V151" s="150"/>
      <c r="W151" s="150" t="str">
        <f>IF(A151="","",'UT2'!$Y$7)</f>
        <v/>
      </c>
      <c r="X151" s="148"/>
      <c r="Y151" s="148"/>
      <c r="Z151" s="148"/>
      <c r="AA151" s="148"/>
      <c r="AB151" s="148" t="str">
        <f>IF(A151="","",'UT2'!$AA$7)</f>
        <v/>
      </c>
      <c r="AC151" s="148" t="str">
        <f>IF(A151="","",'UT2'!$AD$7)</f>
        <v/>
      </c>
      <c r="AD151" s="150" t="str">
        <f>IF(A151="","",'UT2'!$AE$7)</f>
        <v/>
      </c>
      <c r="AE151" s="148"/>
      <c r="AF151" s="148"/>
      <c r="AG151" s="148" t="str">
        <f>IF(A151="","",'UT2'!$AF$7)</f>
        <v/>
      </c>
      <c r="AH151" s="151" t="str">
        <f t="shared" si="5"/>
        <v/>
      </c>
    </row>
    <row r="152" spans="1:34">
      <c r="A152" s="148" t="str">
        <f>IF(OR(IFERROR('UT2'!$W$8&gt;=$B$3,FALSE),'UT2'!$AC$8="Forcée",'UT2'!$X$8&lt;&gt;"",'UT2'!$AA$8&lt;&gt;""),"UT2-8","")</f>
        <v/>
      </c>
      <c r="B152" s="148" t="str">
        <f>IF(OR(IFERROR('UT2'!$W$8&gt;=$B$3,FALSE),'UT2'!$AC$8="Forcée",'UT2'!$X$8&lt;&gt;"",'UT2'!$AA$8&lt;&gt;""),"UT2","")</f>
        <v/>
      </c>
      <c r="C152" s="148" t="str">
        <f>IF(OR(IFERROR('UT2'!$W$8&gt;=$B$3,FALSE),'UT2'!$AC$8="Forcée",'UT2'!$X$8&lt;&gt;"",'UT2'!$AA$8&lt;&gt;""),'UT2'!$A$8,"")</f>
        <v/>
      </c>
      <c r="D152" s="148" t="str">
        <f>IF(OR(IFERROR('UT2'!$W$8&gt;=$B$3,FALSE),'UT2'!$AC$8="Forcée",'UT2'!$X$8&lt;&gt;"",'UT2'!$AA$8&lt;&gt;""),'UT2'!$B$8,"")</f>
        <v/>
      </c>
      <c r="E152" s="148" t="str">
        <f>IF(OR(IFERROR('UT2'!$W$8&gt;=$B$3,FALSE),'UT2'!$AC$8="Forcée",'UT2'!$X$8&lt;&gt;"",'UT2'!$AA$8&lt;&gt;""),'UT2'!$C$8,"")</f>
        <v/>
      </c>
      <c r="F152" s="148" t="str">
        <f>IF(OR(IFERROR('UT2'!$W$8&gt;=$B$3,FALSE),'UT2'!$AC$8="Forcée",'UT2'!$X$8&lt;&gt;"",'UT2'!$AA$8&lt;&gt;""),'UT2'!$D$8,"")</f>
        <v/>
      </c>
      <c r="G152" s="148" t="str">
        <f>IF(OR(IFERROR('UT2'!$W$8&gt;=$B$3,FALSE),'UT2'!$AC$8="Forcée",'UT2'!$X$8&lt;&gt;"",'UT2'!$AA$8&lt;&gt;""),'UT2'!$E$8,"")</f>
        <v/>
      </c>
      <c r="H152" s="148" t="str">
        <f>IF(OR(IFERROR('UT2'!$W$8&gt;=$B$3,FALSE),'UT2'!$AC$8="Forcée",'UT2'!$X$8&lt;&gt;"",'UT2'!$AA$8&lt;&gt;""),'UT2'!$H$8,"")</f>
        <v/>
      </c>
      <c r="I152" s="148" t="str">
        <f>IF(OR(IFERROR('UT2'!$W$8&gt;=$B$3,FALSE),'UT2'!$AC$8="Forcée",'UT2'!$X$8&lt;&gt;"",'UT2'!$AA$8&lt;&gt;""),'UT2'!$W$8,"")</f>
        <v/>
      </c>
      <c r="J152" s="148" t="str">
        <f t="shared" si="4"/>
        <v/>
      </c>
      <c r="K152" s="148" t="str">
        <f>IF(A152="","",IF('UT2'!$AC$8="Forcée","Forcée",IF('UT2'!$AC$8="Exclue","Exclue","Automatique")))</f>
        <v/>
      </c>
      <c r="L152" s="148" t="str">
        <f>IF(A152="","",IF('UT2'!$AC$8="Exclue","Exclu",IF('UT2'!$W$8&gt;=$B$3,"Actif - risque significatif",IF(AND('UT2'!$W$8&lt;$B$3,'UT2'!$AD$8="Oui"),"Maîtrisé / clôturable","Maîtrisé - à vérifier"))))</f>
        <v/>
      </c>
      <c r="M152" s="148" t="str">
        <f>IF(A152="","",IF('UT2'!$W$8&gt;=16,"P1 - Critique",IF('UT2'!$W$8&gt;=13,"P2 - Haute",IF('UT2'!$W$8&gt;=9,"P3 - Moyenne","P4 - Basse"))))</f>
        <v/>
      </c>
      <c r="N152" s="148"/>
      <c r="O152" s="148" t="str">
        <f>IF(A152="","",'UT2'!$X$8)</f>
        <v/>
      </c>
      <c r="P152" s="148"/>
      <c r="Q152" s="148"/>
      <c r="R152" s="148" t="str">
        <f>IF(A152="","",'UT2'!$Z$8)</f>
        <v/>
      </c>
      <c r="S152" s="148"/>
      <c r="T152" s="148"/>
      <c r="U152" s="149"/>
      <c r="V152" s="150"/>
      <c r="W152" s="150" t="str">
        <f>IF(A152="","",'UT2'!$Y$8)</f>
        <v/>
      </c>
      <c r="X152" s="148"/>
      <c r="Y152" s="148"/>
      <c r="Z152" s="148"/>
      <c r="AA152" s="148"/>
      <c r="AB152" s="148" t="str">
        <f>IF(A152="","",'UT2'!$AA$8)</f>
        <v/>
      </c>
      <c r="AC152" s="148" t="str">
        <f>IF(A152="","",'UT2'!$AD$8)</f>
        <v/>
      </c>
      <c r="AD152" s="150" t="str">
        <f>IF(A152="","",'UT2'!$AE$8)</f>
        <v/>
      </c>
      <c r="AE152" s="148"/>
      <c r="AF152" s="148"/>
      <c r="AG152" s="148" t="str">
        <f>IF(A152="","",'UT2'!$AF$8)</f>
        <v/>
      </c>
      <c r="AH152" s="151" t="str">
        <f t="shared" si="5"/>
        <v/>
      </c>
    </row>
    <row r="153" spans="1:34">
      <c r="A153" s="148" t="str">
        <f>IF(OR(IFERROR('UT2'!$W$9&gt;=$B$3,FALSE),'UT2'!$AC$9="Forcée",'UT2'!$X$9&lt;&gt;"",'UT2'!$AA$9&lt;&gt;""),"UT2-9","")</f>
        <v/>
      </c>
      <c r="B153" s="148" t="str">
        <f>IF(OR(IFERROR('UT2'!$W$9&gt;=$B$3,FALSE),'UT2'!$AC$9="Forcée",'UT2'!$X$9&lt;&gt;"",'UT2'!$AA$9&lt;&gt;""),"UT2","")</f>
        <v/>
      </c>
      <c r="C153" s="148" t="str">
        <f>IF(OR(IFERROR('UT2'!$W$9&gt;=$B$3,FALSE),'UT2'!$AC$9="Forcée",'UT2'!$X$9&lt;&gt;"",'UT2'!$AA$9&lt;&gt;""),'UT2'!$A$9,"")</f>
        <v/>
      </c>
      <c r="D153" s="148" t="str">
        <f>IF(OR(IFERROR('UT2'!$W$9&gt;=$B$3,FALSE),'UT2'!$AC$9="Forcée",'UT2'!$X$9&lt;&gt;"",'UT2'!$AA$9&lt;&gt;""),'UT2'!$B$9,"")</f>
        <v/>
      </c>
      <c r="E153" s="148" t="str">
        <f>IF(OR(IFERROR('UT2'!$W$9&gt;=$B$3,FALSE),'UT2'!$AC$9="Forcée",'UT2'!$X$9&lt;&gt;"",'UT2'!$AA$9&lt;&gt;""),'UT2'!$C$9,"")</f>
        <v/>
      </c>
      <c r="F153" s="148" t="str">
        <f>IF(OR(IFERROR('UT2'!$W$9&gt;=$B$3,FALSE),'UT2'!$AC$9="Forcée",'UT2'!$X$9&lt;&gt;"",'UT2'!$AA$9&lt;&gt;""),'UT2'!$D$9,"")</f>
        <v/>
      </c>
      <c r="G153" s="148" t="str">
        <f>IF(OR(IFERROR('UT2'!$W$9&gt;=$B$3,FALSE),'UT2'!$AC$9="Forcée",'UT2'!$X$9&lt;&gt;"",'UT2'!$AA$9&lt;&gt;""),'UT2'!$E$9,"")</f>
        <v/>
      </c>
      <c r="H153" s="148" t="str">
        <f>IF(OR(IFERROR('UT2'!$W$9&gt;=$B$3,FALSE),'UT2'!$AC$9="Forcée",'UT2'!$X$9&lt;&gt;"",'UT2'!$AA$9&lt;&gt;""),'UT2'!$H$9,"")</f>
        <v/>
      </c>
      <c r="I153" s="148" t="str">
        <f>IF(OR(IFERROR('UT2'!$W$9&gt;=$B$3,FALSE),'UT2'!$AC$9="Forcée",'UT2'!$X$9&lt;&gt;"",'UT2'!$AA$9&lt;&gt;""),'UT2'!$W$9,"")</f>
        <v/>
      </c>
      <c r="J153" s="148" t="str">
        <f t="shared" si="4"/>
        <v/>
      </c>
      <c r="K153" s="148" t="str">
        <f>IF(A153="","",IF('UT2'!$AC$9="Forcée","Forcée",IF('UT2'!$AC$9="Exclue","Exclue","Automatique")))</f>
        <v/>
      </c>
      <c r="L153" s="148" t="str">
        <f>IF(A153="","",IF('UT2'!$AC$9="Exclue","Exclu",IF('UT2'!$W$9&gt;=$B$3,"Actif - risque significatif",IF(AND('UT2'!$W$9&lt;$B$3,'UT2'!$AD$9="Oui"),"Maîtrisé / clôturable","Maîtrisé - à vérifier"))))</f>
        <v/>
      </c>
      <c r="M153" s="148" t="str">
        <f>IF(A153="","",IF('UT2'!$W$9&gt;=16,"P1 - Critique",IF('UT2'!$W$9&gt;=13,"P2 - Haute",IF('UT2'!$W$9&gt;=9,"P3 - Moyenne","P4 - Basse"))))</f>
        <v/>
      </c>
      <c r="N153" s="148"/>
      <c r="O153" s="148" t="str">
        <f>IF(A153="","",'UT2'!$X$9)</f>
        <v/>
      </c>
      <c r="P153" s="148"/>
      <c r="Q153" s="148"/>
      <c r="R153" s="148" t="str">
        <f>IF(A153="","",'UT2'!$Z$9)</f>
        <v/>
      </c>
      <c r="S153" s="148"/>
      <c r="T153" s="148"/>
      <c r="U153" s="149"/>
      <c r="V153" s="150"/>
      <c r="W153" s="150" t="str">
        <f>IF(A153="","",'UT2'!$Y$9)</f>
        <v/>
      </c>
      <c r="X153" s="148"/>
      <c r="Y153" s="148"/>
      <c r="Z153" s="148"/>
      <c r="AA153" s="148"/>
      <c r="AB153" s="148" t="str">
        <f>IF(A153="","",'UT2'!$AA$9)</f>
        <v/>
      </c>
      <c r="AC153" s="148" t="str">
        <f>IF(A153="","",'UT2'!$AD$9)</f>
        <v/>
      </c>
      <c r="AD153" s="150" t="str">
        <f>IF(A153="","",'UT2'!$AE$9)</f>
        <v/>
      </c>
      <c r="AE153" s="148"/>
      <c r="AF153" s="148"/>
      <c r="AG153" s="148" t="str">
        <f>IF(A153="","",'UT2'!$AF$9)</f>
        <v/>
      </c>
      <c r="AH153" s="151" t="str">
        <f t="shared" si="5"/>
        <v/>
      </c>
    </row>
    <row r="154" spans="1:34">
      <c r="A154" s="148" t="str">
        <f>IF(OR(IFERROR('UT2'!$W$10&gt;=$B$3,FALSE),'UT2'!$AC$10="Forcée",'UT2'!$X$10&lt;&gt;"",'UT2'!$AA$10&lt;&gt;""),"UT2-10","")</f>
        <v/>
      </c>
      <c r="B154" s="148" t="str">
        <f>IF(OR(IFERROR('UT2'!$W$10&gt;=$B$3,FALSE),'UT2'!$AC$10="Forcée",'UT2'!$X$10&lt;&gt;"",'UT2'!$AA$10&lt;&gt;""),"UT2","")</f>
        <v/>
      </c>
      <c r="C154" s="148" t="str">
        <f>IF(OR(IFERROR('UT2'!$W$10&gt;=$B$3,FALSE),'UT2'!$AC$10="Forcée",'UT2'!$X$10&lt;&gt;"",'UT2'!$AA$10&lt;&gt;""),'UT2'!$A$10,"")</f>
        <v/>
      </c>
      <c r="D154" s="148" t="str">
        <f>IF(OR(IFERROR('UT2'!$W$10&gt;=$B$3,FALSE),'UT2'!$AC$10="Forcée",'UT2'!$X$10&lt;&gt;"",'UT2'!$AA$10&lt;&gt;""),'UT2'!$B$10,"")</f>
        <v/>
      </c>
      <c r="E154" s="148" t="str">
        <f>IF(OR(IFERROR('UT2'!$W$10&gt;=$B$3,FALSE),'UT2'!$AC$10="Forcée",'UT2'!$X$10&lt;&gt;"",'UT2'!$AA$10&lt;&gt;""),'UT2'!$C$10,"")</f>
        <v/>
      </c>
      <c r="F154" s="148" t="str">
        <f>IF(OR(IFERROR('UT2'!$W$10&gt;=$B$3,FALSE),'UT2'!$AC$10="Forcée",'UT2'!$X$10&lt;&gt;"",'UT2'!$AA$10&lt;&gt;""),'UT2'!$D$10,"")</f>
        <v/>
      </c>
      <c r="G154" s="148" t="str">
        <f>IF(OR(IFERROR('UT2'!$W$10&gt;=$B$3,FALSE),'UT2'!$AC$10="Forcée",'UT2'!$X$10&lt;&gt;"",'UT2'!$AA$10&lt;&gt;""),'UT2'!$E$10,"")</f>
        <v/>
      </c>
      <c r="H154" s="148" t="str">
        <f>IF(OR(IFERROR('UT2'!$W$10&gt;=$B$3,FALSE),'UT2'!$AC$10="Forcée",'UT2'!$X$10&lt;&gt;"",'UT2'!$AA$10&lt;&gt;""),'UT2'!$H$10,"")</f>
        <v/>
      </c>
      <c r="I154" s="148" t="str">
        <f>IF(OR(IFERROR('UT2'!$W$10&gt;=$B$3,FALSE),'UT2'!$AC$10="Forcée",'UT2'!$X$10&lt;&gt;"",'UT2'!$AA$10&lt;&gt;""),'UT2'!$W$10,"")</f>
        <v/>
      </c>
      <c r="J154" s="148" t="str">
        <f t="shared" si="4"/>
        <v/>
      </c>
      <c r="K154" s="148" t="str">
        <f>IF(A154="","",IF('UT2'!$AC$10="Forcée","Forcée",IF('UT2'!$AC$10="Exclue","Exclue","Automatique")))</f>
        <v/>
      </c>
      <c r="L154" s="148" t="str">
        <f>IF(A154="","",IF('UT2'!$AC$10="Exclue","Exclu",IF('UT2'!$W$10&gt;=$B$3,"Actif - risque significatif",IF(AND('UT2'!$W$10&lt;$B$3,'UT2'!$AD$10="Oui"),"Maîtrisé / clôturable","Maîtrisé - à vérifier"))))</f>
        <v/>
      </c>
      <c r="M154" s="148" t="str">
        <f>IF(A154="","",IF('UT2'!$W$10&gt;=16,"P1 - Critique",IF('UT2'!$W$10&gt;=13,"P2 - Haute",IF('UT2'!$W$10&gt;=9,"P3 - Moyenne","P4 - Basse"))))</f>
        <v/>
      </c>
      <c r="N154" s="148"/>
      <c r="O154" s="148" t="str">
        <f>IF(A154="","",'UT2'!$X$10)</f>
        <v/>
      </c>
      <c r="P154" s="148"/>
      <c r="Q154" s="148"/>
      <c r="R154" s="148" t="str">
        <f>IF(A154="","",'UT2'!$Z$10)</f>
        <v/>
      </c>
      <c r="S154" s="148"/>
      <c r="T154" s="148"/>
      <c r="U154" s="149"/>
      <c r="V154" s="150"/>
      <c r="W154" s="150" t="str">
        <f>IF(A154="","",'UT2'!$Y$10)</f>
        <v/>
      </c>
      <c r="X154" s="148"/>
      <c r="Y154" s="148"/>
      <c r="Z154" s="148"/>
      <c r="AA154" s="148"/>
      <c r="AB154" s="148" t="str">
        <f>IF(A154="","",'UT2'!$AA$10)</f>
        <v/>
      </c>
      <c r="AC154" s="148" t="str">
        <f>IF(A154="","",'UT2'!$AD$10)</f>
        <v/>
      </c>
      <c r="AD154" s="150" t="str">
        <f>IF(A154="","",'UT2'!$AE$10)</f>
        <v/>
      </c>
      <c r="AE154" s="148"/>
      <c r="AF154" s="148"/>
      <c r="AG154" s="148" t="str">
        <f>IF(A154="","",'UT2'!$AF$10)</f>
        <v/>
      </c>
      <c r="AH154" s="151" t="str">
        <f t="shared" si="5"/>
        <v/>
      </c>
    </row>
    <row r="155" spans="1:34">
      <c r="A155" s="148" t="str">
        <f>IF(OR(IFERROR('UT2'!$W$11&gt;=$B$3,FALSE),'UT2'!$AC$11="Forcée",'UT2'!$X$11&lt;&gt;"",'UT2'!$AA$11&lt;&gt;""),"UT2-11","")</f>
        <v/>
      </c>
      <c r="B155" s="148" t="str">
        <f>IF(OR(IFERROR('UT2'!$W$11&gt;=$B$3,FALSE),'UT2'!$AC$11="Forcée",'UT2'!$X$11&lt;&gt;"",'UT2'!$AA$11&lt;&gt;""),"UT2","")</f>
        <v/>
      </c>
      <c r="C155" s="148" t="str">
        <f>IF(OR(IFERROR('UT2'!$W$11&gt;=$B$3,FALSE),'UT2'!$AC$11="Forcée",'UT2'!$X$11&lt;&gt;"",'UT2'!$AA$11&lt;&gt;""),'UT2'!$A$11,"")</f>
        <v/>
      </c>
      <c r="D155" s="148" t="str">
        <f>IF(OR(IFERROR('UT2'!$W$11&gt;=$B$3,FALSE),'UT2'!$AC$11="Forcée",'UT2'!$X$11&lt;&gt;"",'UT2'!$AA$11&lt;&gt;""),'UT2'!$B$11,"")</f>
        <v/>
      </c>
      <c r="E155" s="148" t="str">
        <f>IF(OR(IFERROR('UT2'!$W$11&gt;=$B$3,FALSE),'UT2'!$AC$11="Forcée",'UT2'!$X$11&lt;&gt;"",'UT2'!$AA$11&lt;&gt;""),'UT2'!$C$11,"")</f>
        <v/>
      </c>
      <c r="F155" s="148" t="str">
        <f>IF(OR(IFERROR('UT2'!$W$11&gt;=$B$3,FALSE),'UT2'!$AC$11="Forcée",'UT2'!$X$11&lt;&gt;"",'UT2'!$AA$11&lt;&gt;""),'UT2'!$D$11,"")</f>
        <v/>
      </c>
      <c r="G155" s="148" t="str">
        <f>IF(OR(IFERROR('UT2'!$W$11&gt;=$B$3,FALSE),'UT2'!$AC$11="Forcée",'UT2'!$X$11&lt;&gt;"",'UT2'!$AA$11&lt;&gt;""),'UT2'!$E$11,"")</f>
        <v/>
      </c>
      <c r="H155" s="148" t="str">
        <f>IF(OR(IFERROR('UT2'!$W$11&gt;=$B$3,FALSE),'UT2'!$AC$11="Forcée",'UT2'!$X$11&lt;&gt;"",'UT2'!$AA$11&lt;&gt;""),'UT2'!$H$11,"")</f>
        <v/>
      </c>
      <c r="I155" s="148" t="str">
        <f>IF(OR(IFERROR('UT2'!$W$11&gt;=$B$3,FALSE),'UT2'!$AC$11="Forcée",'UT2'!$X$11&lt;&gt;"",'UT2'!$AA$11&lt;&gt;""),'UT2'!$W$11,"")</f>
        <v/>
      </c>
      <c r="J155" s="148" t="str">
        <f t="shared" si="4"/>
        <v/>
      </c>
      <c r="K155" s="148" t="str">
        <f>IF(A155="","",IF('UT2'!$AC$11="Forcée","Forcée",IF('UT2'!$AC$11="Exclue","Exclue","Automatique")))</f>
        <v/>
      </c>
      <c r="L155" s="148" t="str">
        <f>IF(A155="","",IF('UT2'!$AC$11="Exclue","Exclu",IF('UT2'!$W$11&gt;=$B$3,"Actif - risque significatif",IF(AND('UT2'!$W$11&lt;$B$3,'UT2'!$AD$11="Oui"),"Maîtrisé / clôturable","Maîtrisé - à vérifier"))))</f>
        <v/>
      </c>
      <c r="M155" s="148" t="str">
        <f>IF(A155="","",IF('UT2'!$W$11&gt;=16,"P1 - Critique",IF('UT2'!$W$11&gt;=13,"P2 - Haute",IF('UT2'!$W$11&gt;=9,"P3 - Moyenne","P4 - Basse"))))</f>
        <v/>
      </c>
      <c r="N155" s="148"/>
      <c r="O155" s="148" t="str">
        <f>IF(A155="","",'UT2'!$X$11)</f>
        <v/>
      </c>
      <c r="P155" s="148"/>
      <c r="Q155" s="148"/>
      <c r="R155" s="148" t="str">
        <f>IF(A155="","",'UT2'!$Z$11)</f>
        <v/>
      </c>
      <c r="S155" s="148"/>
      <c r="T155" s="148"/>
      <c r="U155" s="149"/>
      <c r="V155" s="150"/>
      <c r="W155" s="150" t="str">
        <f>IF(A155="","",'UT2'!$Y$11)</f>
        <v/>
      </c>
      <c r="X155" s="148"/>
      <c r="Y155" s="148"/>
      <c r="Z155" s="148"/>
      <c r="AA155" s="148"/>
      <c r="AB155" s="148" t="str">
        <f>IF(A155="","",'UT2'!$AA$11)</f>
        <v/>
      </c>
      <c r="AC155" s="148" t="str">
        <f>IF(A155="","",'UT2'!$AD$11)</f>
        <v/>
      </c>
      <c r="AD155" s="150" t="str">
        <f>IF(A155="","",'UT2'!$AE$11)</f>
        <v/>
      </c>
      <c r="AE155" s="148"/>
      <c r="AF155" s="148"/>
      <c r="AG155" s="148" t="str">
        <f>IF(A155="","",'UT2'!$AF$11)</f>
        <v/>
      </c>
      <c r="AH155" s="151" t="str">
        <f t="shared" si="5"/>
        <v/>
      </c>
    </row>
    <row r="156" spans="1:34">
      <c r="A156" s="148" t="str">
        <f>IF(OR(IFERROR('UT2'!$W$12&gt;=$B$3,FALSE),'UT2'!$AC$12="Forcée",'UT2'!$X$12&lt;&gt;"",'UT2'!$AA$12&lt;&gt;""),"UT2-12","")</f>
        <v/>
      </c>
      <c r="B156" s="148" t="str">
        <f>IF(OR(IFERROR('UT2'!$W$12&gt;=$B$3,FALSE),'UT2'!$AC$12="Forcée",'UT2'!$X$12&lt;&gt;"",'UT2'!$AA$12&lt;&gt;""),"UT2","")</f>
        <v/>
      </c>
      <c r="C156" s="148" t="str">
        <f>IF(OR(IFERROR('UT2'!$W$12&gt;=$B$3,FALSE),'UT2'!$AC$12="Forcée",'UT2'!$X$12&lt;&gt;"",'UT2'!$AA$12&lt;&gt;""),'UT2'!$A$12,"")</f>
        <v/>
      </c>
      <c r="D156" s="148" t="str">
        <f>IF(OR(IFERROR('UT2'!$W$12&gt;=$B$3,FALSE),'UT2'!$AC$12="Forcée",'UT2'!$X$12&lt;&gt;"",'UT2'!$AA$12&lt;&gt;""),'UT2'!$B$12,"")</f>
        <v/>
      </c>
      <c r="E156" s="148" t="str">
        <f>IF(OR(IFERROR('UT2'!$W$12&gt;=$B$3,FALSE),'UT2'!$AC$12="Forcée",'UT2'!$X$12&lt;&gt;"",'UT2'!$AA$12&lt;&gt;""),'UT2'!$C$12,"")</f>
        <v/>
      </c>
      <c r="F156" s="148" t="str">
        <f>IF(OR(IFERROR('UT2'!$W$12&gt;=$B$3,FALSE),'UT2'!$AC$12="Forcée",'UT2'!$X$12&lt;&gt;"",'UT2'!$AA$12&lt;&gt;""),'UT2'!$D$12,"")</f>
        <v/>
      </c>
      <c r="G156" s="148" t="str">
        <f>IF(OR(IFERROR('UT2'!$W$12&gt;=$B$3,FALSE),'UT2'!$AC$12="Forcée",'UT2'!$X$12&lt;&gt;"",'UT2'!$AA$12&lt;&gt;""),'UT2'!$E$12,"")</f>
        <v/>
      </c>
      <c r="H156" s="148" t="str">
        <f>IF(OR(IFERROR('UT2'!$W$12&gt;=$B$3,FALSE),'UT2'!$AC$12="Forcée",'UT2'!$X$12&lt;&gt;"",'UT2'!$AA$12&lt;&gt;""),'UT2'!$H$12,"")</f>
        <v/>
      </c>
      <c r="I156" s="148" t="str">
        <f>IF(OR(IFERROR('UT2'!$W$12&gt;=$B$3,FALSE),'UT2'!$AC$12="Forcée",'UT2'!$X$12&lt;&gt;"",'UT2'!$AA$12&lt;&gt;""),'UT2'!$W$12,"")</f>
        <v/>
      </c>
      <c r="J156" s="148" t="str">
        <f t="shared" si="4"/>
        <v/>
      </c>
      <c r="K156" s="148" t="str">
        <f>IF(A156="","",IF('UT2'!$AC$12="Forcée","Forcée",IF('UT2'!$AC$12="Exclue","Exclue","Automatique")))</f>
        <v/>
      </c>
      <c r="L156" s="148" t="str">
        <f>IF(A156="","",IF('UT2'!$AC$12="Exclue","Exclu",IF('UT2'!$W$12&gt;=$B$3,"Actif - risque significatif",IF(AND('UT2'!$W$12&lt;$B$3,'UT2'!$AD$12="Oui"),"Maîtrisé / clôturable","Maîtrisé - à vérifier"))))</f>
        <v/>
      </c>
      <c r="M156" s="148" t="str">
        <f>IF(A156="","",IF('UT2'!$W$12&gt;=16,"P1 - Critique",IF('UT2'!$W$12&gt;=13,"P2 - Haute",IF('UT2'!$W$12&gt;=9,"P3 - Moyenne","P4 - Basse"))))</f>
        <v/>
      </c>
      <c r="N156" s="148"/>
      <c r="O156" s="148" t="str">
        <f>IF(A156="","",'UT2'!$X$12)</f>
        <v/>
      </c>
      <c r="P156" s="148"/>
      <c r="Q156" s="148"/>
      <c r="R156" s="148" t="str">
        <f>IF(A156="","",'UT2'!$Z$12)</f>
        <v/>
      </c>
      <c r="S156" s="148"/>
      <c r="T156" s="148"/>
      <c r="U156" s="149"/>
      <c r="V156" s="150"/>
      <c r="W156" s="150" t="str">
        <f>IF(A156="","",'UT2'!$Y$12)</f>
        <v/>
      </c>
      <c r="X156" s="148"/>
      <c r="Y156" s="148"/>
      <c r="Z156" s="148"/>
      <c r="AA156" s="148"/>
      <c r="AB156" s="148" t="str">
        <f>IF(A156="","",'UT2'!$AA$12)</f>
        <v/>
      </c>
      <c r="AC156" s="148" t="str">
        <f>IF(A156="","",'UT2'!$AD$12)</f>
        <v/>
      </c>
      <c r="AD156" s="150" t="str">
        <f>IF(A156="","",'UT2'!$AE$12)</f>
        <v/>
      </c>
      <c r="AE156" s="148"/>
      <c r="AF156" s="148"/>
      <c r="AG156" s="148" t="str">
        <f>IF(A156="","",'UT2'!$AF$12)</f>
        <v/>
      </c>
      <c r="AH156" s="151" t="str">
        <f t="shared" si="5"/>
        <v/>
      </c>
    </row>
    <row r="157" spans="1:34">
      <c r="A157" s="148" t="str">
        <f>IF(OR(IFERROR('UT2'!$W$13&gt;=$B$3,FALSE),'UT2'!$AC$13="Forcée",'UT2'!$X$13&lt;&gt;"",'UT2'!$AA$13&lt;&gt;""),"UT2-13","")</f>
        <v/>
      </c>
      <c r="B157" s="148" t="str">
        <f>IF(OR(IFERROR('UT2'!$W$13&gt;=$B$3,FALSE),'UT2'!$AC$13="Forcée",'UT2'!$X$13&lt;&gt;"",'UT2'!$AA$13&lt;&gt;""),"UT2","")</f>
        <v/>
      </c>
      <c r="C157" s="148" t="str">
        <f>IF(OR(IFERROR('UT2'!$W$13&gt;=$B$3,FALSE),'UT2'!$AC$13="Forcée",'UT2'!$X$13&lt;&gt;"",'UT2'!$AA$13&lt;&gt;""),'UT2'!$A$13,"")</f>
        <v/>
      </c>
      <c r="D157" s="148" t="str">
        <f>IF(OR(IFERROR('UT2'!$W$13&gt;=$B$3,FALSE),'UT2'!$AC$13="Forcée",'UT2'!$X$13&lt;&gt;"",'UT2'!$AA$13&lt;&gt;""),'UT2'!$B$13,"")</f>
        <v/>
      </c>
      <c r="E157" s="148" t="str">
        <f>IF(OR(IFERROR('UT2'!$W$13&gt;=$B$3,FALSE),'UT2'!$AC$13="Forcée",'UT2'!$X$13&lt;&gt;"",'UT2'!$AA$13&lt;&gt;""),'UT2'!$C$13,"")</f>
        <v/>
      </c>
      <c r="F157" s="148" t="str">
        <f>IF(OR(IFERROR('UT2'!$W$13&gt;=$B$3,FALSE),'UT2'!$AC$13="Forcée",'UT2'!$X$13&lt;&gt;"",'UT2'!$AA$13&lt;&gt;""),'UT2'!$D$13,"")</f>
        <v/>
      </c>
      <c r="G157" s="148" t="str">
        <f>IF(OR(IFERROR('UT2'!$W$13&gt;=$B$3,FALSE),'UT2'!$AC$13="Forcée",'UT2'!$X$13&lt;&gt;"",'UT2'!$AA$13&lt;&gt;""),'UT2'!$E$13,"")</f>
        <v/>
      </c>
      <c r="H157" s="148" t="str">
        <f>IF(OR(IFERROR('UT2'!$W$13&gt;=$B$3,FALSE),'UT2'!$AC$13="Forcée",'UT2'!$X$13&lt;&gt;"",'UT2'!$AA$13&lt;&gt;""),'UT2'!$H$13,"")</f>
        <v/>
      </c>
      <c r="I157" s="148" t="str">
        <f>IF(OR(IFERROR('UT2'!$W$13&gt;=$B$3,FALSE),'UT2'!$AC$13="Forcée",'UT2'!$X$13&lt;&gt;"",'UT2'!$AA$13&lt;&gt;""),'UT2'!$W$13,"")</f>
        <v/>
      </c>
      <c r="J157" s="148" t="str">
        <f t="shared" si="4"/>
        <v/>
      </c>
      <c r="K157" s="148" t="str">
        <f>IF(A157="","",IF('UT2'!$AC$13="Forcée","Forcée",IF('UT2'!$AC$13="Exclue","Exclue","Automatique")))</f>
        <v/>
      </c>
      <c r="L157" s="148" t="str">
        <f>IF(A157="","",IF('UT2'!$AC$13="Exclue","Exclu",IF('UT2'!$W$13&gt;=$B$3,"Actif - risque significatif",IF(AND('UT2'!$W$13&lt;$B$3,'UT2'!$AD$13="Oui"),"Maîtrisé / clôturable","Maîtrisé - à vérifier"))))</f>
        <v/>
      </c>
      <c r="M157" s="148" t="str">
        <f>IF(A157="","",IF('UT2'!$W$13&gt;=16,"P1 - Critique",IF('UT2'!$W$13&gt;=13,"P2 - Haute",IF('UT2'!$W$13&gt;=9,"P3 - Moyenne","P4 - Basse"))))</f>
        <v/>
      </c>
      <c r="N157" s="148"/>
      <c r="O157" s="148" t="str">
        <f>IF(A157="","",'UT2'!$X$13)</f>
        <v/>
      </c>
      <c r="P157" s="148"/>
      <c r="Q157" s="148"/>
      <c r="R157" s="148" t="str">
        <f>IF(A157="","",'UT2'!$Z$13)</f>
        <v/>
      </c>
      <c r="S157" s="148"/>
      <c r="T157" s="148"/>
      <c r="U157" s="149"/>
      <c r="V157" s="150"/>
      <c r="W157" s="150" t="str">
        <f>IF(A157="","",'UT2'!$Y$13)</f>
        <v/>
      </c>
      <c r="X157" s="148"/>
      <c r="Y157" s="148"/>
      <c r="Z157" s="148"/>
      <c r="AA157" s="148"/>
      <c r="AB157" s="148" t="str">
        <f>IF(A157="","",'UT2'!$AA$13)</f>
        <v/>
      </c>
      <c r="AC157" s="148" t="str">
        <f>IF(A157="","",'UT2'!$AD$13)</f>
        <v/>
      </c>
      <c r="AD157" s="150" t="str">
        <f>IF(A157="","",'UT2'!$AE$13)</f>
        <v/>
      </c>
      <c r="AE157" s="148"/>
      <c r="AF157" s="148"/>
      <c r="AG157" s="148" t="str">
        <f>IF(A157="","",'UT2'!$AF$13)</f>
        <v/>
      </c>
      <c r="AH157" s="151" t="str">
        <f t="shared" si="5"/>
        <v/>
      </c>
    </row>
    <row r="158" spans="1:34">
      <c r="A158" s="148" t="str">
        <f>IF(OR(IFERROR('UT2'!$W$14&gt;=$B$3,FALSE),'UT2'!$AC$14="Forcée",'UT2'!$X$14&lt;&gt;"",'UT2'!$AA$14&lt;&gt;""),"UT2-14","")</f>
        <v/>
      </c>
      <c r="B158" s="148" t="str">
        <f>IF(OR(IFERROR('UT2'!$W$14&gt;=$B$3,FALSE),'UT2'!$AC$14="Forcée",'UT2'!$X$14&lt;&gt;"",'UT2'!$AA$14&lt;&gt;""),"UT2","")</f>
        <v/>
      </c>
      <c r="C158" s="148" t="str">
        <f>IF(OR(IFERROR('UT2'!$W$14&gt;=$B$3,FALSE),'UT2'!$AC$14="Forcée",'UT2'!$X$14&lt;&gt;"",'UT2'!$AA$14&lt;&gt;""),'UT2'!$A$14,"")</f>
        <v/>
      </c>
      <c r="D158" s="148" t="str">
        <f>IF(OR(IFERROR('UT2'!$W$14&gt;=$B$3,FALSE),'UT2'!$AC$14="Forcée",'UT2'!$X$14&lt;&gt;"",'UT2'!$AA$14&lt;&gt;""),'UT2'!$B$14,"")</f>
        <v/>
      </c>
      <c r="E158" s="148" t="str">
        <f>IF(OR(IFERROR('UT2'!$W$14&gt;=$B$3,FALSE),'UT2'!$AC$14="Forcée",'UT2'!$X$14&lt;&gt;"",'UT2'!$AA$14&lt;&gt;""),'UT2'!$C$14,"")</f>
        <v/>
      </c>
      <c r="F158" s="148" t="str">
        <f>IF(OR(IFERROR('UT2'!$W$14&gt;=$B$3,FALSE),'UT2'!$AC$14="Forcée",'UT2'!$X$14&lt;&gt;"",'UT2'!$AA$14&lt;&gt;""),'UT2'!$D$14,"")</f>
        <v/>
      </c>
      <c r="G158" s="148" t="str">
        <f>IF(OR(IFERROR('UT2'!$W$14&gt;=$B$3,FALSE),'UT2'!$AC$14="Forcée",'UT2'!$X$14&lt;&gt;"",'UT2'!$AA$14&lt;&gt;""),'UT2'!$E$14,"")</f>
        <v/>
      </c>
      <c r="H158" s="148" t="str">
        <f>IF(OR(IFERROR('UT2'!$W$14&gt;=$B$3,FALSE),'UT2'!$AC$14="Forcée",'UT2'!$X$14&lt;&gt;"",'UT2'!$AA$14&lt;&gt;""),'UT2'!$H$14,"")</f>
        <v/>
      </c>
      <c r="I158" s="148" t="str">
        <f>IF(OR(IFERROR('UT2'!$W$14&gt;=$B$3,FALSE),'UT2'!$AC$14="Forcée",'UT2'!$X$14&lt;&gt;"",'UT2'!$AA$14&lt;&gt;""),'UT2'!$W$14,"")</f>
        <v/>
      </c>
      <c r="J158" s="148" t="str">
        <f t="shared" si="4"/>
        <v/>
      </c>
      <c r="K158" s="148" t="str">
        <f>IF(A158="","",IF('UT2'!$AC$14="Forcée","Forcée",IF('UT2'!$AC$14="Exclue","Exclue","Automatique")))</f>
        <v/>
      </c>
      <c r="L158" s="148" t="str">
        <f>IF(A158="","",IF('UT2'!$AC$14="Exclue","Exclu",IF('UT2'!$W$14&gt;=$B$3,"Actif - risque significatif",IF(AND('UT2'!$W$14&lt;$B$3,'UT2'!$AD$14="Oui"),"Maîtrisé / clôturable","Maîtrisé - à vérifier"))))</f>
        <v/>
      </c>
      <c r="M158" s="148" t="str">
        <f>IF(A158="","",IF('UT2'!$W$14&gt;=16,"P1 - Critique",IF('UT2'!$W$14&gt;=13,"P2 - Haute",IF('UT2'!$W$14&gt;=9,"P3 - Moyenne","P4 - Basse"))))</f>
        <v/>
      </c>
      <c r="N158" s="148"/>
      <c r="O158" s="148" t="str">
        <f>IF(A158="","",'UT2'!$X$14)</f>
        <v/>
      </c>
      <c r="P158" s="148"/>
      <c r="Q158" s="148"/>
      <c r="R158" s="148" t="str">
        <f>IF(A158="","",'UT2'!$Z$14)</f>
        <v/>
      </c>
      <c r="S158" s="148"/>
      <c r="T158" s="148"/>
      <c r="U158" s="149"/>
      <c r="V158" s="150"/>
      <c r="W158" s="150" t="str">
        <f>IF(A158="","",'UT2'!$Y$14)</f>
        <v/>
      </c>
      <c r="X158" s="148"/>
      <c r="Y158" s="148"/>
      <c r="Z158" s="148"/>
      <c r="AA158" s="148"/>
      <c r="AB158" s="148" t="str">
        <f>IF(A158="","",'UT2'!$AA$14)</f>
        <v/>
      </c>
      <c r="AC158" s="148" t="str">
        <f>IF(A158="","",'UT2'!$AD$14)</f>
        <v/>
      </c>
      <c r="AD158" s="150" t="str">
        <f>IF(A158="","",'UT2'!$AE$14)</f>
        <v/>
      </c>
      <c r="AE158" s="148"/>
      <c r="AF158" s="148"/>
      <c r="AG158" s="148" t="str">
        <f>IF(A158="","",'UT2'!$AF$14)</f>
        <v/>
      </c>
      <c r="AH158" s="151" t="str">
        <f t="shared" si="5"/>
        <v/>
      </c>
    </row>
    <row r="159" spans="1:34">
      <c r="A159" s="148" t="str">
        <f>IF(OR(IFERROR('UT2'!$W$15&gt;=$B$3,FALSE),'UT2'!$AC$15="Forcée",'UT2'!$X$15&lt;&gt;"",'UT2'!$AA$15&lt;&gt;""),"UT2-15","")</f>
        <v/>
      </c>
      <c r="B159" s="148" t="str">
        <f>IF(OR(IFERROR('UT2'!$W$15&gt;=$B$3,FALSE),'UT2'!$AC$15="Forcée",'UT2'!$X$15&lt;&gt;"",'UT2'!$AA$15&lt;&gt;""),"UT2","")</f>
        <v/>
      </c>
      <c r="C159" s="148" t="str">
        <f>IF(OR(IFERROR('UT2'!$W$15&gt;=$B$3,FALSE),'UT2'!$AC$15="Forcée",'UT2'!$X$15&lt;&gt;"",'UT2'!$AA$15&lt;&gt;""),'UT2'!$A$15,"")</f>
        <v/>
      </c>
      <c r="D159" s="148" t="str">
        <f>IF(OR(IFERROR('UT2'!$W$15&gt;=$B$3,FALSE),'UT2'!$AC$15="Forcée",'UT2'!$X$15&lt;&gt;"",'UT2'!$AA$15&lt;&gt;""),'UT2'!$B$15,"")</f>
        <v/>
      </c>
      <c r="E159" s="148" t="str">
        <f>IF(OR(IFERROR('UT2'!$W$15&gt;=$B$3,FALSE),'UT2'!$AC$15="Forcée",'UT2'!$X$15&lt;&gt;"",'UT2'!$AA$15&lt;&gt;""),'UT2'!$C$15,"")</f>
        <v/>
      </c>
      <c r="F159" s="148" t="str">
        <f>IF(OR(IFERROR('UT2'!$W$15&gt;=$B$3,FALSE),'UT2'!$AC$15="Forcée",'UT2'!$X$15&lt;&gt;"",'UT2'!$AA$15&lt;&gt;""),'UT2'!$D$15,"")</f>
        <v/>
      </c>
      <c r="G159" s="148" t="str">
        <f>IF(OR(IFERROR('UT2'!$W$15&gt;=$B$3,FALSE),'UT2'!$AC$15="Forcée",'UT2'!$X$15&lt;&gt;"",'UT2'!$AA$15&lt;&gt;""),'UT2'!$E$15,"")</f>
        <v/>
      </c>
      <c r="H159" s="148" t="str">
        <f>IF(OR(IFERROR('UT2'!$W$15&gt;=$B$3,FALSE),'UT2'!$AC$15="Forcée",'UT2'!$X$15&lt;&gt;"",'UT2'!$AA$15&lt;&gt;""),'UT2'!$H$15,"")</f>
        <v/>
      </c>
      <c r="I159" s="148" t="str">
        <f>IF(OR(IFERROR('UT2'!$W$15&gt;=$B$3,FALSE),'UT2'!$AC$15="Forcée",'UT2'!$X$15&lt;&gt;"",'UT2'!$AA$15&lt;&gt;""),'UT2'!$W$15,"")</f>
        <v/>
      </c>
      <c r="J159" s="148" t="str">
        <f t="shared" si="4"/>
        <v/>
      </c>
      <c r="K159" s="148" t="str">
        <f>IF(A159="","",IF('UT2'!$AC$15="Forcée","Forcée",IF('UT2'!$AC$15="Exclue","Exclue","Automatique")))</f>
        <v/>
      </c>
      <c r="L159" s="148" t="str">
        <f>IF(A159="","",IF('UT2'!$AC$15="Exclue","Exclu",IF('UT2'!$W$15&gt;=$B$3,"Actif - risque significatif",IF(AND('UT2'!$W$15&lt;$B$3,'UT2'!$AD$15="Oui"),"Maîtrisé / clôturable","Maîtrisé - à vérifier"))))</f>
        <v/>
      </c>
      <c r="M159" s="148" t="str">
        <f>IF(A159="","",IF('UT2'!$W$15&gt;=16,"P1 - Critique",IF('UT2'!$W$15&gt;=13,"P2 - Haute",IF('UT2'!$W$15&gt;=9,"P3 - Moyenne","P4 - Basse"))))</f>
        <v/>
      </c>
      <c r="N159" s="148"/>
      <c r="O159" s="148" t="str">
        <f>IF(A159="","",'UT2'!$X$15)</f>
        <v/>
      </c>
      <c r="P159" s="148"/>
      <c r="Q159" s="148"/>
      <c r="R159" s="148" t="str">
        <f>IF(A159="","",'UT2'!$Z$15)</f>
        <v/>
      </c>
      <c r="S159" s="148"/>
      <c r="T159" s="148"/>
      <c r="U159" s="149"/>
      <c r="V159" s="150"/>
      <c r="W159" s="150" t="str">
        <f>IF(A159="","",'UT2'!$Y$15)</f>
        <v/>
      </c>
      <c r="X159" s="148"/>
      <c r="Y159" s="148"/>
      <c r="Z159" s="148"/>
      <c r="AA159" s="148"/>
      <c r="AB159" s="148" t="str">
        <f>IF(A159="","",'UT2'!$AA$15)</f>
        <v/>
      </c>
      <c r="AC159" s="148" t="str">
        <f>IF(A159="","",'UT2'!$AD$15)</f>
        <v/>
      </c>
      <c r="AD159" s="150" t="str">
        <f>IF(A159="","",'UT2'!$AE$15)</f>
        <v/>
      </c>
      <c r="AE159" s="148"/>
      <c r="AF159" s="148"/>
      <c r="AG159" s="148" t="str">
        <f>IF(A159="","",'UT2'!$AF$15)</f>
        <v/>
      </c>
      <c r="AH159" s="151" t="str">
        <f t="shared" si="5"/>
        <v/>
      </c>
    </row>
    <row r="160" spans="1:34">
      <c r="A160" s="148" t="str">
        <f>IF(OR(IFERROR('UT2'!$W$16&gt;=$B$3,FALSE),'UT2'!$AC$16="Forcée",'UT2'!$X$16&lt;&gt;"",'UT2'!$AA$16&lt;&gt;""),"UT2-16","")</f>
        <v/>
      </c>
      <c r="B160" s="148" t="str">
        <f>IF(OR(IFERROR('UT2'!$W$16&gt;=$B$3,FALSE),'UT2'!$AC$16="Forcée",'UT2'!$X$16&lt;&gt;"",'UT2'!$AA$16&lt;&gt;""),"UT2","")</f>
        <v/>
      </c>
      <c r="C160" s="148" t="str">
        <f>IF(OR(IFERROR('UT2'!$W$16&gt;=$B$3,FALSE),'UT2'!$AC$16="Forcée",'UT2'!$X$16&lt;&gt;"",'UT2'!$AA$16&lt;&gt;""),'UT2'!$A$16,"")</f>
        <v/>
      </c>
      <c r="D160" s="148" t="str">
        <f>IF(OR(IFERROR('UT2'!$W$16&gt;=$B$3,FALSE),'UT2'!$AC$16="Forcée",'UT2'!$X$16&lt;&gt;"",'UT2'!$AA$16&lt;&gt;""),'UT2'!$B$16,"")</f>
        <v/>
      </c>
      <c r="E160" s="148" t="str">
        <f>IF(OR(IFERROR('UT2'!$W$16&gt;=$B$3,FALSE),'UT2'!$AC$16="Forcée",'UT2'!$X$16&lt;&gt;"",'UT2'!$AA$16&lt;&gt;""),'UT2'!$C$16,"")</f>
        <v/>
      </c>
      <c r="F160" s="148" t="str">
        <f>IF(OR(IFERROR('UT2'!$W$16&gt;=$B$3,FALSE),'UT2'!$AC$16="Forcée",'UT2'!$X$16&lt;&gt;"",'UT2'!$AA$16&lt;&gt;""),'UT2'!$D$16,"")</f>
        <v/>
      </c>
      <c r="G160" s="148" t="str">
        <f>IF(OR(IFERROR('UT2'!$W$16&gt;=$B$3,FALSE),'UT2'!$AC$16="Forcée",'UT2'!$X$16&lt;&gt;"",'UT2'!$AA$16&lt;&gt;""),'UT2'!$E$16,"")</f>
        <v/>
      </c>
      <c r="H160" s="148" t="str">
        <f>IF(OR(IFERROR('UT2'!$W$16&gt;=$B$3,FALSE),'UT2'!$AC$16="Forcée",'UT2'!$X$16&lt;&gt;"",'UT2'!$AA$16&lt;&gt;""),'UT2'!$H$16,"")</f>
        <v/>
      </c>
      <c r="I160" s="148" t="str">
        <f>IF(OR(IFERROR('UT2'!$W$16&gt;=$B$3,FALSE),'UT2'!$AC$16="Forcée",'UT2'!$X$16&lt;&gt;"",'UT2'!$AA$16&lt;&gt;""),'UT2'!$W$16,"")</f>
        <v/>
      </c>
      <c r="J160" s="148" t="str">
        <f t="shared" si="4"/>
        <v/>
      </c>
      <c r="K160" s="148" t="str">
        <f>IF(A160="","",IF('UT2'!$AC$16="Forcée","Forcée",IF('UT2'!$AC$16="Exclue","Exclue","Automatique")))</f>
        <v/>
      </c>
      <c r="L160" s="148" t="str">
        <f>IF(A160="","",IF('UT2'!$AC$16="Exclue","Exclu",IF('UT2'!$W$16&gt;=$B$3,"Actif - risque significatif",IF(AND('UT2'!$W$16&lt;$B$3,'UT2'!$AD$16="Oui"),"Maîtrisé / clôturable","Maîtrisé - à vérifier"))))</f>
        <v/>
      </c>
      <c r="M160" s="148" t="str">
        <f>IF(A160="","",IF('UT2'!$W$16&gt;=16,"P1 - Critique",IF('UT2'!$W$16&gt;=13,"P2 - Haute",IF('UT2'!$W$16&gt;=9,"P3 - Moyenne","P4 - Basse"))))</f>
        <v/>
      </c>
      <c r="N160" s="148"/>
      <c r="O160" s="148" t="str">
        <f>IF(A160="","",'UT2'!$X$16)</f>
        <v/>
      </c>
      <c r="P160" s="148"/>
      <c r="Q160" s="148"/>
      <c r="R160" s="148" t="str">
        <f>IF(A160="","",'UT2'!$Z$16)</f>
        <v/>
      </c>
      <c r="S160" s="148"/>
      <c r="T160" s="148"/>
      <c r="U160" s="149"/>
      <c r="V160" s="150"/>
      <c r="W160" s="150" t="str">
        <f>IF(A160="","",'UT2'!$Y$16)</f>
        <v/>
      </c>
      <c r="X160" s="148"/>
      <c r="Y160" s="148"/>
      <c r="Z160" s="148"/>
      <c r="AA160" s="148"/>
      <c r="AB160" s="148" t="str">
        <f>IF(A160="","",'UT2'!$AA$16)</f>
        <v/>
      </c>
      <c r="AC160" s="148" t="str">
        <f>IF(A160="","",'UT2'!$AD$16)</f>
        <v/>
      </c>
      <c r="AD160" s="150" t="str">
        <f>IF(A160="","",'UT2'!$AE$16)</f>
        <v/>
      </c>
      <c r="AE160" s="148"/>
      <c r="AF160" s="148"/>
      <c r="AG160" s="148" t="str">
        <f>IF(A160="","",'UT2'!$AF$16)</f>
        <v/>
      </c>
      <c r="AH160" s="151" t="str">
        <f t="shared" si="5"/>
        <v/>
      </c>
    </row>
    <row r="161" spans="1:34">
      <c r="A161" s="148" t="str">
        <f>IF(OR(IFERROR('UT2'!$W$17&gt;=$B$3,FALSE),'UT2'!$AC$17="Forcée",'UT2'!$X$17&lt;&gt;"",'UT2'!$AA$17&lt;&gt;""),"UT2-17","")</f>
        <v/>
      </c>
      <c r="B161" s="148" t="str">
        <f>IF(OR(IFERROR('UT2'!$W$17&gt;=$B$3,FALSE),'UT2'!$AC$17="Forcée",'UT2'!$X$17&lt;&gt;"",'UT2'!$AA$17&lt;&gt;""),"UT2","")</f>
        <v/>
      </c>
      <c r="C161" s="148" t="str">
        <f>IF(OR(IFERROR('UT2'!$W$17&gt;=$B$3,FALSE),'UT2'!$AC$17="Forcée",'UT2'!$X$17&lt;&gt;"",'UT2'!$AA$17&lt;&gt;""),'UT2'!$A$17,"")</f>
        <v/>
      </c>
      <c r="D161" s="148" t="str">
        <f>IF(OR(IFERROR('UT2'!$W$17&gt;=$B$3,FALSE),'UT2'!$AC$17="Forcée",'UT2'!$X$17&lt;&gt;"",'UT2'!$AA$17&lt;&gt;""),'UT2'!$B$17,"")</f>
        <v/>
      </c>
      <c r="E161" s="148" t="str">
        <f>IF(OR(IFERROR('UT2'!$W$17&gt;=$B$3,FALSE),'UT2'!$AC$17="Forcée",'UT2'!$X$17&lt;&gt;"",'UT2'!$AA$17&lt;&gt;""),'UT2'!$C$17,"")</f>
        <v/>
      </c>
      <c r="F161" s="148" t="str">
        <f>IF(OR(IFERROR('UT2'!$W$17&gt;=$B$3,FALSE),'UT2'!$AC$17="Forcée",'UT2'!$X$17&lt;&gt;"",'UT2'!$AA$17&lt;&gt;""),'UT2'!$D$17,"")</f>
        <v/>
      </c>
      <c r="G161" s="148" t="str">
        <f>IF(OR(IFERROR('UT2'!$W$17&gt;=$B$3,FALSE),'UT2'!$AC$17="Forcée",'UT2'!$X$17&lt;&gt;"",'UT2'!$AA$17&lt;&gt;""),'UT2'!$E$17,"")</f>
        <v/>
      </c>
      <c r="H161" s="148" t="str">
        <f>IF(OR(IFERROR('UT2'!$W$17&gt;=$B$3,FALSE),'UT2'!$AC$17="Forcée",'UT2'!$X$17&lt;&gt;"",'UT2'!$AA$17&lt;&gt;""),'UT2'!$H$17,"")</f>
        <v/>
      </c>
      <c r="I161" s="148" t="str">
        <f>IF(OR(IFERROR('UT2'!$W$17&gt;=$B$3,FALSE),'UT2'!$AC$17="Forcée",'UT2'!$X$17&lt;&gt;"",'UT2'!$AA$17&lt;&gt;""),'UT2'!$W$17,"")</f>
        <v/>
      </c>
      <c r="J161" s="148" t="str">
        <f t="shared" si="4"/>
        <v/>
      </c>
      <c r="K161" s="148" t="str">
        <f>IF(A161="","",IF('UT2'!$AC$17="Forcée","Forcée",IF('UT2'!$AC$17="Exclue","Exclue","Automatique")))</f>
        <v/>
      </c>
      <c r="L161" s="148" t="str">
        <f>IF(A161="","",IF('UT2'!$AC$17="Exclue","Exclu",IF('UT2'!$W$17&gt;=$B$3,"Actif - risque significatif",IF(AND('UT2'!$W$17&lt;$B$3,'UT2'!$AD$17="Oui"),"Maîtrisé / clôturable","Maîtrisé - à vérifier"))))</f>
        <v/>
      </c>
      <c r="M161" s="148" t="str">
        <f>IF(A161="","",IF('UT2'!$W$17&gt;=16,"P1 - Critique",IF('UT2'!$W$17&gt;=13,"P2 - Haute",IF('UT2'!$W$17&gt;=9,"P3 - Moyenne","P4 - Basse"))))</f>
        <v/>
      </c>
      <c r="N161" s="148"/>
      <c r="O161" s="148" t="str">
        <f>IF(A161="","",'UT2'!$X$17)</f>
        <v/>
      </c>
      <c r="P161" s="148"/>
      <c r="Q161" s="148"/>
      <c r="R161" s="148" t="str">
        <f>IF(A161="","",'UT2'!$Z$17)</f>
        <v/>
      </c>
      <c r="S161" s="148"/>
      <c r="T161" s="148"/>
      <c r="U161" s="149"/>
      <c r="V161" s="150"/>
      <c r="W161" s="150" t="str">
        <f>IF(A161="","",'UT2'!$Y$17)</f>
        <v/>
      </c>
      <c r="X161" s="148"/>
      <c r="Y161" s="148"/>
      <c r="Z161" s="148"/>
      <c r="AA161" s="148"/>
      <c r="AB161" s="148" t="str">
        <f>IF(A161="","",'UT2'!$AA$17)</f>
        <v/>
      </c>
      <c r="AC161" s="148" t="str">
        <f>IF(A161="","",'UT2'!$AD$17)</f>
        <v/>
      </c>
      <c r="AD161" s="150" t="str">
        <f>IF(A161="","",'UT2'!$AE$17)</f>
        <v/>
      </c>
      <c r="AE161" s="148"/>
      <c r="AF161" s="148"/>
      <c r="AG161" s="148" t="str">
        <f>IF(A161="","",'UT2'!$AF$17)</f>
        <v/>
      </c>
      <c r="AH161" s="151" t="str">
        <f t="shared" si="5"/>
        <v/>
      </c>
    </row>
    <row r="162" spans="1:34">
      <c r="A162" s="148" t="str">
        <f>IF(OR(IFERROR('UT2'!$W$18&gt;=$B$3,FALSE),'UT2'!$AC$18="Forcée",'UT2'!$X$18&lt;&gt;"",'UT2'!$AA$18&lt;&gt;""),"UT2-18","")</f>
        <v/>
      </c>
      <c r="B162" s="148" t="str">
        <f>IF(OR(IFERROR('UT2'!$W$18&gt;=$B$3,FALSE),'UT2'!$AC$18="Forcée",'UT2'!$X$18&lt;&gt;"",'UT2'!$AA$18&lt;&gt;""),"UT2","")</f>
        <v/>
      </c>
      <c r="C162" s="148" t="str">
        <f>IF(OR(IFERROR('UT2'!$W$18&gt;=$B$3,FALSE),'UT2'!$AC$18="Forcée",'UT2'!$X$18&lt;&gt;"",'UT2'!$AA$18&lt;&gt;""),'UT2'!$A$18,"")</f>
        <v/>
      </c>
      <c r="D162" s="148" t="str">
        <f>IF(OR(IFERROR('UT2'!$W$18&gt;=$B$3,FALSE),'UT2'!$AC$18="Forcée",'UT2'!$X$18&lt;&gt;"",'UT2'!$AA$18&lt;&gt;""),'UT2'!$B$18,"")</f>
        <v/>
      </c>
      <c r="E162" s="148" t="str">
        <f>IF(OR(IFERROR('UT2'!$W$18&gt;=$B$3,FALSE),'UT2'!$AC$18="Forcée",'UT2'!$X$18&lt;&gt;"",'UT2'!$AA$18&lt;&gt;""),'UT2'!$C$18,"")</f>
        <v/>
      </c>
      <c r="F162" s="148" t="str">
        <f>IF(OR(IFERROR('UT2'!$W$18&gt;=$B$3,FALSE),'UT2'!$AC$18="Forcée",'UT2'!$X$18&lt;&gt;"",'UT2'!$AA$18&lt;&gt;""),'UT2'!$D$18,"")</f>
        <v/>
      </c>
      <c r="G162" s="148" t="str">
        <f>IF(OR(IFERROR('UT2'!$W$18&gt;=$B$3,FALSE),'UT2'!$AC$18="Forcée",'UT2'!$X$18&lt;&gt;"",'UT2'!$AA$18&lt;&gt;""),'UT2'!$E$18,"")</f>
        <v/>
      </c>
      <c r="H162" s="148" t="str">
        <f>IF(OR(IFERROR('UT2'!$W$18&gt;=$B$3,FALSE),'UT2'!$AC$18="Forcée",'UT2'!$X$18&lt;&gt;"",'UT2'!$AA$18&lt;&gt;""),'UT2'!$H$18,"")</f>
        <v/>
      </c>
      <c r="I162" s="148" t="str">
        <f>IF(OR(IFERROR('UT2'!$W$18&gt;=$B$3,FALSE),'UT2'!$AC$18="Forcée",'UT2'!$X$18&lt;&gt;"",'UT2'!$AA$18&lt;&gt;""),'UT2'!$W$18,"")</f>
        <v/>
      </c>
      <c r="J162" s="148" t="str">
        <f t="shared" si="4"/>
        <v/>
      </c>
      <c r="K162" s="148" t="str">
        <f>IF(A162="","",IF('UT2'!$AC$18="Forcée","Forcée",IF('UT2'!$AC$18="Exclue","Exclue","Automatique")))</f>
        <v/>
      </c>
      <c r="L162" s="148" t="str">
        <f>IF(A162="","",IF('UT2'!$AC$18="Exclue","Exclu",IF('UT2'!$W$18&gt;=$B$3,"Actif - risque significatif",IF(AND('UT2'!$W$18&lt;$B$3,'UT2'!$AD$18="Oui"),"Maîtrisé / clôturable","Maîtrisé - à vérifier"))))</f>
        <v/>
      </c>
      <c r="M162" s="148" t="str">
        <f>IF(A162="","",IF('UT2'!$W$18&gt;=16,"P1 - Critique",IF('UT2'!$W$18&gt;=13,"P2 - Haute",IF('UT2'!$W$18&gt;=9,"P3 - Moyenne","P4 - Basse"))))</f>
        <v/>
      </c>
      <c r="N162" s="148"/>
      <c r="O162" s="148" t="str">
        <f>IF(A162="","",'UT2'!$X$18)</f>
        <v/>
      </c>
      <c r="P162" s="148"/>
      <c r="Q162" s="148"/>
      <c r="R162" s="148" t="str">
        <f>IF(A162="","",'UT2'!$Z$18)</f>
        <v/>
      </c>
      <c r="S162" s="148"/>
      <c r="T162" s="148"/>
      <c r="U162" s="149"/>
      <c r="V162" s="150"/>
      <c r="W162" s="150" t="str">
        <f>IF(A162="","",'UT2'!$Y$18)</f>
        <v/>
      </c>
      <c r="X162" s="148"/>
      <c r="Y162" s="148"/>
      <c r="Z162" s="148"/>
      <c r="AA162" s="148"/>
      <c r="AB162" s="148" t="str">
        <f>IF(A162="","",'UT2'!$AA$18)</f>
        <v/>
      </c>
      <c r="AC162" s="148" t="str">
        <f>IF(A162="","",'UT2'!$AD$18)</f>
        <v/>
      </c>
      <c r="AD162" s="150" t="str">
        <f>IF(A162="","",'UT2'!$AE$18)</f>
        <v/>
      </c>
      <c r="AE162" s="148"/>
      <c r="AF162" s="148"/>
      <c r="AG162" s="148" t="str">
        <f>IF(A162="","",'UT2'!$AF$18)</f>
        <v/>
      </c>
      <c r="AH162" s="151" t="str">
        <f t="shared" si="5"/>
        <v/>
      </c>
    </row>
    <row r="163" spans="1:34">
      <c r="A163" s="148" t="str">
        <f>IF(OR(IFERROR('UT2'!$W$19&gt;=$B$3,FALSE),'UT2'!$AC$19="Forcée",'UT2'!$X$19&lt;&gt;"",'UT2'!$AA$19&lt;&gt;""),"UT2-19","")</f>
        <v/>
      </c>
      <c r="B163" s="148" t="str">
        <f>IF(OR(IFERROR('UT2'!$W$19&gt;=$B$3,FALSE),'UT2'!$AC$19="Forcée",'UT2'!$X$19&lt;&gt;"",'UT2'!$AA$19&lt;&gt;""),"UT2","")</f>
        <v/>
      </c>
      <c r="C163" s="148" t="str">
        <f>IF(OR(IFERROR('UT2'!$W$19&gt;=$B$3,FALSE),'UT2'!$AC$19="Forcée",'UT2'!$X$19&lt;&gt;"",'UT2'!$AA$19&lt;&gt;""),'UT2'!$A$19,"")</f>
        <v/>
      </c>
      <c r="D163" s="148" t="str">
        <f>IF(OR(IFERROR('UT2'!$W$19&gt;=$B$3,FALSE),'UT2'!$AC$19="Forcée",'UT2'!$X$19&lt;&gt;"",'UT2'!$AA$19&lt;&gt;""),'UT2'!$B$19,"")</f>
        <v/>
      </c>
      <c r="E163" s="148" t="str">
        <f>IF(OR(IFERROR('UT2'!$W$19&gt;=$B$3,FALSE),'UT2'!$AC$19="Forcée",'UT2'!$X$19&lt;&gt;"",'UT2'!$AA$19&lt;&gt;""),'UT2'!$C$19,"")</f>
        <v/>
      </c>
      <c r="F163" s="148" t="str">
        <f>IF(OR(IFERROR('UT2'!$W$19&gt;=$B$3,FALSE),'UT2'!$AC$19="Forcée",'UT2'!$X$19&lt;&gt;"",'UT2'!$AA$19&lt;&gt;""),'UT2'!$D$19,"")</f>
        <v/>
      </c>
      <c r="G163" s="148" t="str">
        <f>IF(OR(IFERROR('UT2'!$W$19&gt;=$B$3,FALSE),'UT2'!$AC$19="Forcée",'UT2'!$X$19&lt;&gt;"",'UT2'!$AA$19&lt;&gt;""),'UT2'!$E$19,"")</f>
        <v/>
      </c>
      <c r="H163" s="148" t="str">
        <f>IF(OR(IFERROR('UT2'!$W$19&gt;=$B$3,FALSE),'UT2'!$AC$19="Forcée",'UT2'!$X$19&lt;&gt;"",'UT2'!$AA$19&lt;&gt;""),'UT2'!$H$19,"")</f>
        <v/>
      </c>
      <c r="I163" s="148" t="str">
        <f>IF(OR(IFERROR('UT2'!$W$19&gt;=$B$3,FALSE),'UT2'!$AC$19="Forcée",'UT2'!$X$19&lt;&gt;"",'UT2'!$AA$19&lt;&gt;""),'UT2'!$W$19,"")</f>
        <v/>
      </c>
      <c r="J163" s="148" t="str">
        <f t="shared" si="4"/>
        <v/>
      </c>
      <c r="K163" s="148" t="str">
        <f>IF(A163="","",IF('UT2'!$AC$19="Forcée","Forcée",IF('UT2'!$AC$19="Exclue","Exclue","Automatique")))</f>
        <v/>
      </c>
      <c r="L163" s="148" t="str">
        <f>IF(A163="","",IF('UT2'!$AC$19="Exclue","Exclu",IF('UT2'!$W$19&gt;=$B$3,"Actif - risque significatif",IF(AND('UT2'!$W$19&lt;$B$3,'UT2'!$AD$19="Oui"),"Maîtrisé / clôturable","Maîtrisé - à vérifier"))))</f>
        <v/>
      </c>
      <c r="M163" s="148" t="str">
        <f>IF(A163="","",IF('UT2'!$W$19&gt;=16,"P1 - Critique",IF('UT2'!$W$19&gt;=13,"P2 - Haute",IF('UT2'!$W$19&gt;=9,"P3 - Moyenne","P4 - Basse"))))</f>
        <v/>
      </c>
      <c r="N163" s="148"/>
      <c r="O163" s="148" t="str">
        <f>IF(A163="","",'UT2'!$X$19)</f>
        <v/>
      </c>
      <c r="P163" s="148"/>
      <c r="Q163" s="148"/>
      <c r="R163" s="148" t="str">
        <f>IF(A163="","",'UT2'!$Z$19)</f>
        <v/>
      </c>
      <c r="S163" s="148"/>
      <c r="T163" s="148"/>
      <c r="U163" s="149"/>
      <c r="V163" s="150"/>
      <c r="W163" s="150" t="str">
        <f>IF(A163="","",'UT2'!$Y$19)</f>
        <v/>
      </c>
      <c r="X163" s="148"/>
      <c r="Y163" s="148"/>
      <c r="Z163" s="148"/>
      <c r="AA163" s="148"/>
      <c r="AB163" s="148" t="str">
        <f>IF(A163="","",'UT2'!$AA$19)</f>
        <v/>
      </c>
      <c r="AC163" s="148" t="str">
        <f>IF(A163="","",'UT2'!$AD$19)</f>
        <v/>
      </c>
      <c r="AD163" s="150" t="str">
        <f>IF(A163="","",'UT2'!$AE$19)</f>
        <v/>
      </c>
      <c r="AE163" s="148"/>
      <c r="AF163" s="148"/>
      <c r="AG163" s="148" t="str">
        <f>IF(A163="","",'UT2'!$AF$19)</f>
        <v/>
      </c>
      <c r="AH163" s="151" t="str">
        <f t="shared" si="5"/>
        <v/>
      </c>
    </row>
    <row r="164" spans="1:34">
      <c r="A164" s="148" t="str">
        <f>IF(OR(IFERROR('UT2'!$W$20&gt;=$B$3,FALSE),'UT2'!$AC$20="Forcée",'UT2'!$X$20&lt;&gt;"",'UT2'!$AA$20&lt;&gt;""),"UT2-20","")</f>
        <v/>
      </c>
      <c r="B164" s="148" t="str">
        <f>IF(OR(IFERROR('UT2'!$W$20&gt;=$B$3,FALSE),'UT2'!$AC$20="Forcée",'UT2'!$X$20&lt;&gt;"",'UT2'!$AA$20&lt;&gt;""),"UT2","")</f>
        <v/>
      </c>
      <c r="C164" s="148" t="str">
        <f>IF(OR(IFERROR('UT2'!$W$20&gt;=$B$3,FALSE),'UT2'!$AC$20="Forcée",'UT2'!$X$20&lt;&gt;"",'UT2'!$AA$20&lt;&gt;""),'UT2'!$A$20,"")</f>
        <v/>
      </c>
      <c r="D164" s="148" t="str">
        <f>IF(OR(IFERROR('UT2'!$W$20&gt;=$B$3,FALSE),'UT2'!$AC$20="Forcée",'UT2'!$X$20&lt;&gt;"",'UT2'!$AA$20&lt;&gt;""),'UT2'!$B$20,"")</f>
        <v/>
      </c>
      <c r="E164" s="148" t="str">
        <f>IF(OR(IFERROR('UT2'!$W$20&gt;=$B$3,FALSE),'UT2'!$AC$20="Forcée",'UT2'!$X$20&lt;&gt;"",'UT2'!$AA$20&lt;&gt;""),'UT2'!$C$20,"")</f>
        <v/>
      </c>
      <c r="F164" s="148" t="str">
        <f>IF(OR(IFERROR('UT2'!$W$20&gt;=$B$3,FALSE),'UT2'!$AC$20="Forcée",'UT2'!$X$20&lt;&gt;"",'UT2'!$AA$20&lt;&gt;""),'UT2'!$D$20,"")</f>
        <v/>
      </c>
      <c r="G164" s="148" t="str">
        <f>IF(OR(IFERROR('UT2'!$W$20&gt;=$B$3,FALSE),'UT2'!$AC$20="Forcée",'UT2'!$X$20&lt;&gt;"",'UT2'!$AA$20&lt;&gt;""),'UT2'!$E$20,"")</f>
        <v/>
      </c>
      <c r="H164" s="148" t="str">
        <f>IF(OR(IFERROR('UT2'!$W$20&gt;=$B$3,FALSE),'UT2'!$AC$20="Forcée",'UT2'!$X$20&lt;&gt;"",'UT2'!$AA$20&lt;&gt;""),'UT2'!$H$20,"")</f>
        <v/>
      </c>
      <c r="I164" s="148" t="str">
        <f>IF(OR(IFERROR('UT2'!$W$20&gt;=$B$3,FALSE),'UT2'!$AC$20="Forcée",'UT2'!$X$20&lt;&gt;"",'UT2'!$AA$20&lt;&gt;""),'UT2'!$W$20,"")</f>
        <v/>
      </c>
      <c r="J164" s="148" t="str">
        <f t="shared" si="4"/>
        <v/>
      </c>
      <c r="K164" s="148" t="str">
        <f>IF(A164="","",IF('UT2'!$AC$20="Forcée","Forcée",IF('UT2'!$AC$20="Exclue","Exclue","Automatique")))</f>
        <v/>
      </c>
      <c r="L164" s="148" t="str">
        <f>IF(A164="","",IF('UT2'!$AC$20="Exclue","Exclu",IF('UT2'!$W$20&gt;=$B$3,"Actif - risque significatif",IF(AND('UT2'!$W$20&lt;$B$3,'UT2'!$AD$20="Oui"),"Maîtrisé / clôturable","Maîtrisé - à vérifier"))))</f>
        <v/>
      </c>
      <c r="M164" s="148" t="str">
        <f>IF(A164="","",IF('UT2'!$W$20&gt;=16,"P1 - Critique",IF('UT2'!$W$20&gt;=13,"P2 - Haute",IF('UT2'!$W$20&gt;=9,"P3 - Moyenne","P4 - Basse"))))</f>
        <v/>
      </c>
      <c r="N164" s="148"/>
      <c r="O164" s="148" t="str">
        <f>IF(A164="","",'UT2'!$X$20)</f>
        <v/>
      </c>
      <c r="P164" s="148"/>
      <c r="Q164" s="148"/>
      <c r="R164" s="148" t="str">
        <f>IF(A164="","",'UT2'!$Z$20)</f>
        <v/>
      </c>
      <c r="S164" s="148"/>
      <c r="T164" s="148"/>
      <c r="U164" s="149"/>
      <c r="V164" s="150"/>
      <c r="W164" s="150" t="str">
        <f>IF(A164="","",'UT2'!$Y$20)</f>
        <v/>
      </c>
      <c r="X164" s="148"/>
      <c r="Y164" s="148"/>
      <c r="Z164" s="148"/>
      <c r="AA164" s="148"/>
      <c r="AB164" s="148" t="str">
        <f>IF(A164="","",'UT2'!$AA$20)</f>
        <v/>
      </c>
      <c r="AC164" s="148" t="str">
        <f>IF(A164="","",'UT2'!$AD$20)</f>
        <v/>
      </c>
      <c r="AD164" s="150" t="str">
        <f>IF(A164="","",'UT2'!$AE$20)</f>
        <v/>
      </c>
      <c r="AE164" s="148"/>
      <c r="AF164" s="148"/>
      <c r="AG164" s="148" t="str">
        <f>IF(A164="","",'UT2'!$AF$20)</f>
        <v/>
      </c>
      <c r="AH164" s="151" t="str">
        <f t="shared" si="5"/>
        <v/>
      </c>
    </row>
    <row r="165" spans="1:34">
      <c r="A165" s="148" t="str">
        <f>IF(OR(IFERROR('UT2'!$W$21&gt;=$B$3,FALSE),'UT2'!$AC$21="Forcée",'UT2'!$X$21&lt;&gt;"",'UT2'!$AA$21&lt;&gt;""),"UT2-21","")</f>
        <v/>
      </c>
      <c r="B165" s="148" t="str">
        <f>IF(OR(IFERROR('UT2'!$W$21&gt;=$B$3,FALSE),'UT2'!$AC$21="Forcée",'UT2'!$X$21&lt;&gt;"",'UT2'!$AA$21&lt;&gt;""),"UT2","")</f>
        <v/>
      </c>
      <c r="C165" s="148" t="str">
        <f>IF(OR(IFERROR('UT2'!$W$21&gt;=$B$3,FALSE),'UT2'!$AC$21="Forcée",'UT2'!$X$21&lt;&gt;"",'UT2'!$AA$21&lt;&gt;""),'UT2'!$A$21,"")</f>
        <v/>
      </c>
      <c r="D165" s="148" t="str">
        <f>IF(OR(IFERROR('UT2'!$W$21&gt;=$B$3,FALSE),'UT2'!$AC$21="Forcée",'UT2'!$X$21&lt;&gt;"",'UT2'!$AA$21&lt;&gt;""),'UT2'!$B$21,"")</f>
        <v/>
      </c>
      <c r="E165" s="148" t="str">
        <f>IF(OR(IFERROR('UT2'!$W$21&gt;=$B$3,FALSE),'UT2'!$AC$21="Forcée",'UT2'!$X$21&lt;&gt;"",'UT2'!$AA$21&lt;&gt;""),'UT2'!$C$21,"")</f>
        <v/>
      </c>
      <c r="F165" s="148" t="str">
        <f>IF(OR(IFERROR('UT2'!$W$21&gt;=$B$3,FALSE),'UT2'!$AC$21="Forcée",'UT2'!$X$21&lt;&gt;"",'UT2'!$AA$21&lt;&gt;""),'UT2'!$D$21,"")</f>
        <v/>
      </c>
      <c r="G165" s="148" t="str">
        <f>IF(OR(IFERROR('UT2'!$W$21&gt;=$B$3,FALSE),'UT2'!$AC$21="Forcée",'UT2'!$X$21&lt;&gt;"",'UT2'!$AA$21&lt;&gt;""),'UT2'!$E$21,"")</f>
        <v/>
      </c>
      <c r="H165" s="148" t="str">
        <f>IF(OR(IFERROR('UT2'!$W$21&gt;=$B$3,FALSE),'UT2'!$AC$21="Forcée",'UT2'!$X$21&lt;&gt;"",'UT2'!$AA$21&lt;&gt;""),'UT2'!$H$21,"")</f>
        <v/>
      </c>
      <c r="I165" s="148" t="str">
        <f>IF(OR(IFERROR('UT2'!$W$21&gt;=$B$3,FALSE),'UT2'!$AC$21="Forcée",'UT2'!$X$21&lt;&gt;"",'UT2'!$AA$21&lt;&gt;""),'UT2'!$W$21,"")</f>
        <v/>
      </c>
      <c r="J165" s="148" t="str">
        <f t="shared" si="4"/>
        <v/>
      </c>
      <c r="K165" s="148" t="str">
        <f>IF(A165="","",IF('UT2'!$AC$21="Forcée","Forcée",IF('UT2'!$AC$21="Exclue","Exclue","Automatique")))</f>
        <v/>
      </c>
      <c r="L165" s="148" t="str">
        <f>IF(A165="","",IF('UT2'!$AC$21="Exclue","Exclu",IF('UT2'!$W$21&gt;=$B$3,"Actif - risque significatif",IF(AND('UT2'!$W$21&lt;$B$3,'UT2'!$AD$21="Oui"),"Maîtrisé / clôturable","Maîtrisé - à vérifier"))))</f>
        <v/>
      </c>
      <c r="M165" s="148" t="str">
        <f>IF(A165="","",IF('UT2'!$W$21&gt;=16,"P1 - Critique",IF('UT2'!$W$21&gt;=13,"P2 - Haute",IF('UT2'!$W$21&gt;=9,"P3 - Moyenne","P4 - Basse"))))</f>
        <v/>
      </c>
      <c r="N165" s="148"/>
      <c r="O165" s="148" t="str">
        <f>IF(A165="","",'UT2'!$X$21)</f>
        <v/>
      </c>
      <c r="P165" s="148"/>
      <c r="Q165" s="148"/>
      <c r="R165" s="148" t="str">
        <f>IF(A165="","",'UT2'!$Z$21)</f>
        <v/>
      </c>
      <c r="S165" s="148"/>
      <c r="T165" s="148"/>
      <c r="U165" s="149"/>
      <c r="V165" s="150"/>
      <c r="W165" s="150" t="str">
        <f>IF(A165="","",'UT2'!$Y$21)</f>
        <v/>
      </c>
      <c r="X165" s="148"/>
      <c r="Y165" s="148"/>
      <c r="Z165" s="148"/>
      <c r="AA165" s="148"/>
      <c r="AB165" s="148" t="str">
        <f>IF(A165="","",'UT2'!$AA$21)</f>
        <v/>
      </c>
      <c r="AC165" s="148" t="str">
        <f>IF(A165="","",'UT2'!$AD$21)</f>
        <v/>
      </c>
      <c r="AD165" s="150" t="str">
        <f>IF(A165="","",'UT2'!$AE$21)</f>
        <v/>
      </c>
      <c r="AE165" s="148"/>
      <c r="AF165" s="148"/>
      <c r="AG165" s="148" t="str">
        <f>IF(A165="","",'UT2'!$AF$21)</f>
        <v/>
      </c>
      <c r="AH165" s="151" t="str">
        <f t="shared" si="5"/>
        <v/>
      </c>
    </row>
    <row r="166" spans="1:34">
      <c r="A166" s="148" t="str">
        <f>IF(OR(IFERROR('UT2'!$W$22&gt;=$B$3,FALSE),'UT2'!$AC$22="Forcée",'UT2'!$X$22&lt;&gt;"",'UT2'!$AA$22&lt;&gt;""),"UT2-22","")</f>
        <v/>
      </c>
      <c r="B166" s="148" t="str">
        <f>IF(OR(IFERROR('UT2'!$W$22&gt;=$B$3,FALSE),'UT2'!$AC$22="Forcée",'UT2'!$X$22&lt;&gt;"",'UT2'!$AA$22&lt;&gt;""),"UT2","")</f>
        <v/>
      </c>
      <c r="C166" s="148" t="str">
        <f>IF(OR(IFERROR('UT2'!$W$22&gt;=$B$3,FALSE),'UT2'!$AC$22="Forcée",'UT2'!$X$22&lt;&gt;"",'UT2'!$AA$22&lt;&gt;""),'UT2'!$A$22,"")</f>
        <v/>
      </c>
      <c r="D166" s="148" t="str">
        <f>IF(OR(IFERROR('UT2'!$W$22&gt;=$B$3,FALSE),'UT2'!$AC$22="Forcée",'UT2'!$X$22&lt;&gt;"",'UT2'!$AA$22&lt;&gt;""),'UT2'!$B$22,"")</f>
        <v/>
      </c>
      <c r="E166" s="148" t="str">
        <f>IF(OR(IFERROR('UT2'!$W$22&gt;=$B$3,FALSE),'UT2'!$AC$22="Forcée",'UT2'!$X$22&lt;&gt;"",'UT2'!$AA$22&lt;&gt;""),'UT2'!$C$22,"")</f>
        <v/>
      </c>
      <c r="F166" s="148" t="str">
        <f>IF(OR(IFERROR('UT2'!$W$22&gt;=$B$3,FALSE),'UT2'!$AC$22="Forcée",'UT2'!$X$22&lt;&gt;"",'UT2'!$AA$22&lt;&gt;""),'UT2'!$D$22,"")</f>
        <v/>
      </c>
      <c r="G166" s="148" t="str">
        <f>IF(OR(IFERROR('UT2'!$W$22&gt;=$B$3,FALSE),'UT2'!$AC$22="Forcée",'UT2'!$X$22&lt;&gt;"",'UT2'!$AA$22&lt;&gt;""),'UT2'!$E$22,"")</f>
        <v/>
      </c>
      <c r="H166" s="148" t="str">
        <f>IF(OR(IFERROR('UT2'!$W$22&gt;=$B$3,FALSE),'UT2'!$AC$22="Forcée",'UT2'!$X$22&lt;&gt;"",'UT2'!$AA$22&lt;&gt;""),'UT2'!$H$22,"")</f>
        <v/>
      </c>
      <c r="I166" s="148" t="str">
        <f>IF(OR(IFERROR('UT2'!$W$22&gt;=$B$3,FALSE),'UT2'!$AC$22="Forcée",'UT2'!$X$22&lt;&gt;"",'UT2'!$AA$22&lt;&gt;""),'UT2'!$W$22,"")</f>
        <v/>
      </c>
      <c r="J166" s="148" t="str">
        <f t="shared" si="4"/>
        <v/>
      </c>
      <c r="K166" s="148" t="str">
        <f>IF(A166="","",IF('UT2'!$AC$22="Forcée","Forcée",IF('UT2'!$AC$22="Exclue","Exclue","Automatique")))</f>
        <v/>
      </c>
      <c r="L166" s="148" t="str">
        <f>IF(A166="","",IF('UT2'!$AC$22="Exclue","Exclu",IF('UT2'!$W$22&gt;=$B$3,"Actif - risque significatif",IF(AND('UT2'!$W$22&lt;$B$3,'UT2'!$AD$22="Oui"),"Maîtrisé / clôturable","Maîtrisé - à vérifier"))))</f>
        <v/>
      </c>
      <c r="M166" s="148" t="str">
        <f>IF(A166="","",IF('UT2'!$W$22&gt;=16,"P1 - Critique",IF('UT2'!$W$22&gt;=13,"P2 - Haute",IF('UT2'!$W$22&gt;=9,"P3 - Moyenne","P4 - Basse"))))</f>
        <v/>
      </c>
      <c r="N166" s="148"/>
      <c r="O166" s="148" t="str">
        <f>IF(A166="","",'UT2'!$X$22)</f>
        <v/>
      </c>
      <c r="P166" s="148"/>
      <c r="Q166" s="148"/>
      <c r="R166" s="148" t="str">
        <f>IF(A166="","",'UT2'!$Z$22)</f>
        <v/>
      </c>
      <c r="S166" s="148"/>
      <c r="T166" s="148"/>
      <c r="U166" s="149"/>
      <c r="V166" s="150"/>
      <c r="W166" s="150" t="str">
        <f>IF(A166="","",'UT2'!$Y$22)</f>
        <v/>
      </c>
      <c r="X166" s="148"/>
      <c r="Y166" s="148"/>
      <c r="Z166" s="148"/>
      <c r="AA166" s="148"/>
      <c r="AB166" s="148" t="str">
        <f>IF(A166="","",'UT2'!$AA$22)</f>
        <v/>
      </c>
      <c r="AC166" s="148" t="str">
        <f>IF(A166="","",'UT2'!$AD$22)</f>
        <v/>
      </c>
      <c r="AD166" s="150" t="str">
        <f>IF(A166="","",'UT2'!$AE$22)</f>
        <v/>
      </c>
      <c r="AE166" s="148"/>
      <c r="AF166" s="148"/>
      <c r="AG166" s="148" t="str">
        <f>IF(A166="","",'UT2'!$AF$22)</f>
        <v/>
      </c>
      <c r="AH166" s="151" t="str">
        <f t="shared" si="5"/>
        <v/>
      </c>
    </row>
    <row r="167" spans="1:34">
      <c r="A167" s="148" t="str">
        <f>IF(OR(IFERROR('UT2'!$W$23&gt;=$B$3,FALSE),'UT2'!$AC$23="Forcée",'UT2'!$X$23&lt;&gt;"",'UT2'!$AA$23&lt;&gt;""),"UT2-23","")</f>
        <v/>
      </c>
      <c r="B167" s="148" t="str">
        <f>IF(OR(IFERROR('UT2'!$W$23&gt;=$B$3,FALSE),'UT2'!$AC$23="Forcée",'UT2'!$X$23&lt;&gt;"",'UT2'!$AA$23&lt;&gt;""),"UT2","")</f>
        <v/>
      </c>
      <c r="C167" s="148" t="str">
        <f>IF(OR(IFERROR('UT2'!$W$23&gt;=$B$3,FALSE),'UT2'!$AC$23="Forcée",'UT2'!$X$23&lt;&gt;"",'UT2'!$AA$23&lt;&gt;""),'UT2'!$A$23,"")</f>
        <v/>
      </c>
      <c r="D167" s="148" t="str">
        <f>IF(OR(IFERROR('UT2'!$W$23&gt;=$B$3,FALSE),'UT2'!$AC$23="Forcée",'UT2'!$X$23&lt;&gt;"",'UT2'!$AA$23&lt;&gt;""),'UT2'!$B$23,"")</f>
        <v/>
      </c>
      <c r="E167" s="148" t="str">
        <f>IF(OR(IFERROR('UT2'!$W$23&gt;=$B$3,FALSE),'UT2'!$AC$23="Forcée",'UT2'!$X$23&lt;&gt;"",'UT2'!$AA$23&lt;&gt;""),'UT2'!$C$23,"")</f>
        <v/>
      </c>
      <c r="F167" s="148" t="str">
        <f>IF(OR(IFERROR('UT2'!$W$23&gt;=$B$3,FALSE),'UT2'!$AC$23="Forcée",'UT2'!$X$23&lt;&gt;"",'UT2'!$AA$23&lt;&gt;""),'UT2'!$D$23,"")</f>
        <v/>
      </c>
      <c r="G167" s="148" t="str">
        <f>IF(OR(IFERROR('UT2'!$W$23&gt;=$B$3,FALSE),'UT2'!$AC$23="Forcée",'UT2'!$X$23&lt;&gt;"",'UT2'!$AA$23&lt;&gt;""),'UT2'!$E$23,"")</f>
        <v/>
      </c>
      <c r="H167" s="148" t="str">
        <f>IF(OR(IFERROR('UT2'!$W$23&gt;=$B$3,FALSE),'UT2'!$AC$23="Forcée",'UT2'!$X$23&lt;&gt;"",'UT2'!$AA$23&lt;&gt;""),'UT2'!$H$23,"")</f>
        <v/>
      </c>
      <c r="I167" s="148" t="str">
        <f>IF(OR(IFERROR('UT2'!$W$23&gt;=$B$3,FALSE),'UT2'!$AC$23="Forcée",'UT2'!$X$23&lt;&gt;"",'UT2'!$AA$23&lt;&gt;""),'UT2'!$W$23,"")</f>
        <v/>
      </c>
      <c r="J167" s="148" t="str">
        <f t="shared" si="4"/>
        <v/>
      </c>
      <c r="K167" s="148" t="str">
        <f>IF(A167="","",IF('UT2'!$AC$23="Forcée","Forcée",IF('UT2'!$AC$23="Exclue","Exclue","Automatique")))</f>
        <v/>
      </c>
      <c r="L167" s="148" t="str">
        <f>IF(A167="","",IF('UT2'!$AC$23="Exclue","Exclu",IF('UT2'!$W$23&gt;=$B$3,"Actif - risque significatif",IF(AND('UT2'!$W$23&lt;$B$3,'UT2'!$AD$23="Oui"),"Maîtrisé / clôturable","Maîtrisé - à vérifier"))))</f>
        <v/>
      </c>
      <c r="M167" s="148" t="str">
        <f>IF(A167="","",IF('UT2'!$W$23&gt;=16,"P1 - Critique",IF('UT2'!$W$23&gt;=13,"P2 - Haute",IF('UT2'!$W$23&gt;=9,"P3 - Moyenne","P4 - Basse"))))</f>
        <v/>
      </c>
      <c r="N167" s="148"/>
      <c r="O167" s="148" t="str">
        <f>IF(A167="","",'UT2'!$X$23)</f>
        <v/>
      </c>
      <c r="P167" s="148"/>
      <c r="Q167" s="148"/>
      <c r="R167" s="148" t="str">
        <f>IF(A167="","",'UT2'!$Z$23)</f>
        <v/>
      </c>
      <c r="S167" s="148"/>
      <c r="T167" s="148"/>
      <c r="U167" s="149"/>
      <c r="V167" s="150"/>
      <c r="W167" s="150" t="str">
        <f>IF(A167="","",'UT2'!$Y$23)</f>
        <v/>
      </c>
      <c r="X167" s="148"/>
      <c r="Y167" s="148"/>
      <c r="Z167" s="148"/>
      <c r="AA167" s="148"/>
      <c r="AB167" s="148" t="str">
        <f>IF(A167="","",'UT2'!$AA$23)</f>
        <v/>
      </c>
      <c r="AC167" s="148" t="str">
        <f>IF(A167="","",'UT2'!$AD$23)</f>
        <v/>
      </c>
      <c r="AD167" s="150" t="str">
        <f>IF(A167="","",'UT2'!$AE$23)</f>
        <v/>
      </c>
      <c r="AE167" s="148"/>
      <c r="AF167" s="148"/>
      <c r="AG167" s="148" t="str">
        <f>IF(A167="","",'UT2'!$AF$23)</f>
        <v/>
      </c>
      <c r="AH167" s="151" t="str">
        <f t="shared" si="5"/>
        <v/>
      </c>
    </row>
    <row r="168" spans="1:34">
      <c r="A168" s="148" t="str">
        <f>IF(OR(IFERROR('UT2'!$W$24&gt;=$B$3,FALSE),'UT2'!$AC$24="Forcée",'UT2'!$X$24&lt;&gt;"",'UT2'!$AA$24&lt;&gt;""),"UT2-24","")</f>
        <v/>
      </c>
      <c r="B168" s="148" t="str">
        <f>IF(OR(IFERROR('UT2'!$W$24&gt;=$B$3,FALSE),'UT2'!$AC$24="Forcée",'UT2'!$X$24&lt;&gt;"",'UT2'!$AA$24&lt;&gt;""),"UT2","")</f>
        <v/>
      </c>
      <c r="C168" s="148" t="str">
        <f>IF(OR(IFERROR('UT2'!$W$24&gt;=$B$3,FALSE),'UT2'!$AC$24="Forcée",'UT2'!$X$24&lt;&gt;"",'UT2'!$AA$24&lt;&gt;""),'UT2'!$A$24,"")</f>
        <v/>
      </c>
      <c r="D168" s="148" t="str">
        <f>IF(OR(IFERROR('UT2'!$W$24&gt;=$B$3,FALSE),'UT2'!$AC$24="Forcée",'UT2'!$X$24&lt;&gt;"",'UT2'!$AA$24&lt;&gt;""),'UT2'!$B$24,"")</f>
        <v/>
      </c>
      <c r="E168" s="148" t="str">
        <f>IF(OR(IFERROR('UT2'!$W$24&gt;=$B$3,FALSE),'UT2'!$AC$24="Forcée",'UT2'!$X$24&lt;&gt;"",'UT2'!$AA$24&lt;&gt;""),'UT2'!$C$24,"")</f>
        <v/>
      </c>
      <c r="F168" s="148" t="str">
        <f>IF(OR(IFERROR('UT2'!$W$24&gt;=$B$3,FALSE),'UT2'!$AC$24="Forcée",'UT2'!$X$24&lt;&gt;"",'UT2'!$AA$24&lt;&gt;""),'UT2'!$D$24,"")</f>
        <v/>
      </c>
      <c r="G168" s="148" t="str">
        <f>IF(OR(IFERROR('UT2'!$W$24&gt;=$B$3,FALSE),'UT2'!$AC$24="Forcée",'UT2'!$X$24&lt;&gt;"",'UT2'!$AA$24&lt;&gt;""),'UT2'!$E$24,"")</f>
        <v/>
      </c>
      <c r="H168" s="148" t="str">
        <f>IF(OR(IFERROR('UT2'!$W$24&gt;=$B$3,FALSE),'UT2'!$AC$24="Forcée",'UT2'!$X$24&lt;&gt;"",'UT2'!$AA$24&lt;&gt;""),'UT2'!$H$24,"")</f>
        <v/>
      </c>
      <c r="I168" s="148" t="str">
        <f>IF(OR(IFERROR('UT2'!$W$24&gt;=$B$3,FALSE),'UT2'!$AC$24="Forcée",'UT2'!$X$24&lt;&gt;"",'UT2'!$AA$24&lt;&gt;""),'UT2'!$W$24,"")</f>
        <v/>
      </c>
      <c r="J168" s="148" t="str">
        <f t="shared" si="4"/>
        <v/>
      </c>
      <c r="K168" s="148" t="str">
        <f>IF(A168="","",IF('UT2'!$AC$24="Forcée","Forcée",IF('UT2'!$AC$24="Exclue","Exclue","Automatique")))</f>
        <v/>
      </c>
      <c r="L168" s="148" t="str">
        <f>IF(A168="","",IF('UT2'!$AC$24="Exclue","Exclu",IF('UT2'!$W$24&gt;=$B$3,"Actif - risque significatif",IF(AND('UT2'!$W$24&lt;$B$3,'UT2'!$AD$24="Oui"),"Maîtrisé / clôturable","Maîtrisé - à vérifier"))))</f>
        <v/>
      </c>
      <c r="M168" s="148" t="str">
        <f>IF(A168="","",IF('UT2'!$W$24&gt;=16,"P1 - Critique",IF('UT2'!$W$24&gt;=13,"P2 - Haute",IF('UT2'!$W$24&gt;=9,"P3 - Moyenne","P4 - Basse"))))</f>
        <v/>
      </c>
      <c r="N168" s="148"/>
      <c r="O168" s="148" t="str">
        <f>IF(A168="","",'UT2'!$X$24)</f>
        <v/>
      </c>
      <c r="P168" s="148"/>
      <c r="Q168" s="148"/>
      <c r="R168" s="148" t="str">
        <f>IF(A168="","",'UT2'!$Z$24)</f>
        <v/>
      </c>
      <c r="S168" s="148"/>
      <c r="T168" s="148"/>
      <c r="U168" s="149"/>
      <c r="V168" s="150"/>
      <c r="W168" s="150" t="str">
        <f>IF(A168="","",'UT2'!$Y$24)</f>
        <v/>
      </c>
      <c r="X168" s="148"/>
      <c r="Y168" s="148"/>
      <c r="Z168" s="148"/>
      <c r="AA168" s="148"/>
      <c r="AB168" s="148" t="str">
        <f>IF(A168="","",'UT2'!$AA$24)</f>
        <v/>
      </c>
      <c r="AC168" s="148" t="str">
        <f>IF(A168="","",'UT2'!$AD$24)</f>
        <v/>
      </c>
      <c r="AD168" s="150" t="str">
        <f>IF(A168="","",'UT2'!$AE$24)</f>
        <v/>
      </c>
      <c r="AE168" s="148"/>
      <c r="AF168" s="148"/>
      <c r="AG168" s="148" t="str">
        <f>IF(A168="","",'UT2'!$AF$24)</f>
        <v/>
      </c>
      <c r="AH168" s="151" t="str">
        <f t="shared" si="5"/>
        <v/>
      </c>
    </row>
    <row r="169" spans="1:34">
      <c r="A169" s="148" t="str">
        <f>IF(OR(IFERROR('UT2'!$W$25&gt;=$B$3,FALSE),'UT2'!$AC$25="Forcée",'UT2'!$X$25&lt;&gt;"",'UT2'!$AA$25&lt;&gt;""),"UT2-25","")</f>
        <v/>
      </c>
      <c r="B169" s="148" t="str">
        <f>IF(OR(IFERROR('UT2'!$W$25&gt;=$B$3,FALSE),'UT2'!$AC$25="Forcée",'UT2'!$X$25&lt;&gt;"",'UT2'!$AA$25&lt;&gt;""),"UT2","")</f>
        <v/>
      </c>
      <c r="C169" s="148" t="str">
        <f>IF(OR(IFERROR('UT2'!$W$25&gt;=$B$3,FALSE),'UT2'!$AC$25="Forcée",'UT2'!$X$25&lt;&gt;"",'UT2'!$AA$25&lt;&gt;""),'UT2'!$A$25,"")</f>
        <v/>
      </c>
      <c r="D169" s="148" t="str">
        <f>IF(OR(IFERROR('UT2'!$W$25&gt;=$B$3,FALSE),'UT2'!$AC$25="Forcée",'UT2'!$X$25&lt;&gt;"",'UT2'!$AA$25&lt;&gt;""),'UT2'!$B$25,"")</f>
        <v/>
      </c>
      <c r="E169" s="148" t="str">
        <f>IF(OR(IFERROR('UT2'!$W$25&gt;=$B$3,FALSE),'UT2'!$AC$25="Forcée",'UT2'!$X$25&lt;&gt;"",'UT2'!$AA$25&lt;&gt;""),'UT2'!$C$25,"")</f>
        <v/>
      </c>
      <c r="F169" s="148" t="str">
        <f>IF(OR(IFERROR('UT2'!$W$25&gt;=$B$3,FALSE),'UT2'!$AC$25="Forcée",'UT2'!$X$25&lt;&gt;"",'UT2'!$AA$25&lt;&gt;""),'UT2'!$D$25,"")</f>
        <v/>
      </c>
      <c r="G169" s="148" t="str">
        <f>IF(OR(IFERROR('UT2'!$W$25&gt;=$B$3,FALSE),'UT2'!$AC$25="Forcée",'UT2'!$X$25&lt;&gt;"",'UT2'!$AA$25&lt;&gt;""),'UT2'!$E$25,"")</f>
        <v/>
      </c>
      <c r="H169" s="148" t="str">
        <f>IF(OR(IFERROR('UT2'!$W$25&gt;=$B$3,FALSE),'UT2'!$AC$25="Forcée",'UT2'!$X$25&lt;&gt;"",'UT2'!$AA$25&lt;&gt;""),'UT2'!$H$25,"")</f>
        <v/>
      </c>
      <c r="I169" s="148" t="str">
        <f>IF(OR(IFERROR('UT2'!$W$25&gt;=$B$3,FALSE),'UT2'!$AC$25="Forcée",'UT2'!$X$25&lt;&gt;"",'UT2'!$AA$25&lt;&gt;""),'UT2'!$W$25,"")</f>
        <v/>
      </c>
      <c r="J169" s="148" t="str">
        <f t="shared" si="4"/>
        <v/>
      </c>
      <c r="K169" s="148" t="str">
        <f>IF(A169="","",IF('UT2'!$AC$25="Forcée","Forcée",IF('UT2'!$AC$25="Exclue","Exclue","Automatique")))</f>
        <v/>
      </c>
      <c r="L169" s="148" t="str">
        <f>IF(A169="","",IF('UT2'!$AC$25="Exclue","Exclu",IF('UT2'!$W$25&gt;=$B$3,"Actif - risque significatif",IF(AND('UT2'!$W$25&lt;$B$3,'UT2'!$AD$25="Oui"),"Maîtrisé / clôturable","Maîtrisé - à vérifier"))))</f>
        <v/>
      </c>
      <c r="M169" s="148" t="str">
        <f>IF(A169="","",IF('UT2'!$W$25&gt;=16,"P1 - Critique",IF('UT2'!$W$25&gt;=13,"P2 - Haute",IF('UT2'!$W$25&gt;=9,"P3 - Moyenne","P4 - Basse"))))</f>
        <v/>
      </c>
      <c r="N169" s="148"/>
      <c r="O169" s="148" t="str">
        <f>IF(A169="","",'UT2'!$X$25)</f>
        <v/>
      </c>
      <c r="P169" s="148"/>
      <c r="Q169" s="148"/>
      <c r="R169" s="148" t="str">
        <f>IF(A169="","",'UT2'!$Z$25)</f>
        <v/>
      </c>
      <c r="S169" s="148"/>
      <c r="T169" s="148"/>
      <c r="U169" s="149"/>
      <c r="V169" s="150"/>
      <c r="W169" s="150" t="str">
        <f>IF(A169="","",'UT2'!$Y$25)</f>
        <v/>
      </c>
      <c r="X169" s="148"/>
      <c r="Y169" s="148"/>
      <c r="Z169" s="148"/>
      <c r="AA169" s="148"/>
      <c r="AB169" s="148" t="str">
        <f>IF(A169="","",'UT2'!$AA$25)</f>
        <v/>
      </c>
      <c r="AC169" s="148" t="str">
        <f>IF(A169="","",'UT2'!$AD$25)</f>
        <v/>
      </c>
      <c r="AD169" s="150" t="str">
        <f>IF(A169="","",'UT2'!$AE$25)</f>
        <v/>
      </c>
      <c r="AE169" s="148"/>
      <c r="AF169" s="148"/>
      <c r="AG169" s="148" t="str">
        <f>IF(A169="","",'UT2'!$AF$25)</f>
        <v/>
      </c>
      <c r="AH169" s="151" t="str">
        <f t="shared" si="5"/>
        <v/>
      </c>
    </row>
    <row r="170" spans="1:34">
      <c r="A170" s="148" t="str">
        <f>IF(OR(IFERROR('UT2'!$W$26&gt;=$B$3,FALSE),'UT2'!$AC$26="Forcée",'UT2'!$X$26&lt;&gt;"",'UT2'!$AA$26&lt;&gt;""),"UT2-26","")</f>
        <v/>
      </c>
      <c r="B170" s="148" t="str">
        <f>IF(OR(IFERROR('UT2'!$W$26&gt;=$B$3,FALSE),'UT2'!$AC$26="Forcée",'UT2'!$X$26&lt;&gt;"",'UT2'!$AA$26&lt;&gt;""),"UT2","")</f>
        <v/>
      </c>
      <c r="C170" s="148" t="str">
        <f>IF(OR(IFERROR('UT2'!$W$26&gt;=$B$3,FALSE),'UT2'!$AC$26="Forcée",'UT2'!$X$26&lt;&gt;"",'UT2'!$AA$26&lt;&gt;""),'UT2'!$A$26,"")</f>
        <v/>
      </c>
      <c r="D170" s="148" t="str">
        <f>IF(OR(IFERROR('UT2'!$W$26&gt;=$B$3,FALSE),'UT2'!$AC$26="Forcée",'UT2'!$X$26&lt;&gt;"",'UT2'!$AA$26&lt;&gt;""),'UT2'!$B$26,"")</f>
        <v/>
      </c>
      <c r="E170" s="148" t="str">
        <f>IF(OR(IFERROR('UT2'!$W$26&gt;=$B$3,FALSE),'UT2'!$AC$26="Forcée",'UT2'!$X$26&lt;&gt;"",'UT2'!$AA$26&lt;&gt;""),'UT2'!$C$26,"")</f>
        <v/>
      </c>
      <c r="F170" s="148" t="str">
        <f>IF(OR(IFERROR('UT2'!$W$26&gt;=$B$3,FALSE),'UT2'!$AC$26="Forcée",'UT2'!$X$26&lt;&gt;"",'UT2'!$AA$26&lt;&gt;""),'UT2'!$D$26,"")</f>
        <v/>
      </c>
      <c r="G170" s="148" t="str">
        <f>IF(OR(IFERROR('UT2'!$W$26&gt;=$B$3,FALSE),'UT2'!$AC$26="Forcée",'UT2'!$X$26&lt;&gt;"",'UT2'!$AA$26&lt;&gt;""),'UT2'!$E$26,"")</f>
        <v/>
      </c>
      <c r="H170" s="148" t="str">
        <f>IF(OR(IFERROR('UT2'!$W$26&gt;=$B$3,FALSE),'UT2'!$AC$26="Forcée",'UT2'!$X$26&lt;&gt;"",'UT2'!$AA$26&lt;&gt;""),'UT2'!$H$26,"")</f>
        <v/>
      </c>
      <c r="I170" s="148" t="str">
        <f>IF(OR(IFERROR('UT2'!$W$26&gt;=$B$3,FALSE),'UT2'!$AC$26="Forcée",'UT2'!$X$26&lt;&gt;"",'UT2'!$AA$26&lt;&gt;""),'UT2'!$W$26,"")</f>
        <v/>
      </c>
      <c r="J170" s="148" t="str">
        <f t="shared" si="4"/>
        <v/>
      </c>
      <c r="K170" s="148" t="str">
        <f>IF(A170="","",IF('UT2'!$AC$26="Forcée","Forcée",IF('UT2'!$AC$26="Exclue","Exclue","Automatique")))</f>
        <v/>
      </c>
      <c r="L170" s="148" t="str">
        <f>IF(A170="","",IF('UT2'!$AC$26="Exclue","Exclu",IF('UT2'!$W$26&gt;=$B$3,"Actif - risque significatif",IF(AND('UT2'!$W$26&lt;$B$3,'UT2'!$AD$26="Oui"),"Maîtrisé / clôturable","Maîtrisé - à vérifier"))))</f>
        <v/>
      </c>
      <c r="M170" s="148" t="str">
        <f>IF(A170="","",IF('UT2'!$W$26&gt;=16,"P1 - Critique",IF('UT2'!$W$26&gt;=13,"P2 - Haute",IF('UT2'!$W$26&gt;=9,"P3 - Moyenne","P4 - Basse"))))</f>
        <v/>
      </c>
      <c r="N170" s="148"/>
      <c r="O170" s="148" t="str">
        <f>IF(A170="","",'UT2'!$X$26)</f>
        <v/>
      </c>
      <c r="P170" s="148"/>
      <c r="Q170" s="148"/>
      <c r="R170" s="148" t="str">
        <f>IF(A170="","",'UT2'!$Z$26)</f>
        <v/>
      </c>
      <c r="S170" s="148"/>
      <c r="T170" s="148"/>
      <c r="U170" s="149"/>
      <c r="V170" s="150"/>
      <c r="W170" s="150" t="str">
        <f>IF(A170="","",'UT2'!$Y$26)</f>
        <v/>
      </c>
      <c r="X170" s="148"/>
      <c r="Y170" s="148"/>
      <c r="Z170" s="148"/>
      <c r="AA170" s="148"/>
      <c r="AB170" s="148" t="str">
        <f>IF(A170="","",'UT2'!$AA$26)</f>
        <v/>
      </c>
      <c r="AC170" s="148" t="str">
        <f>IF(A170="","",'UT2'!$AD$26)</f>
        <v/>
      </c>
      <c r="AD170" s="150" t="str">
        <f>IF(A170="","",'UT2'!$AE$26)</f>
        <v/>
      </c>
      <c r="AE170" s="148"/>
      <c r="AF170" s="148"/>
      <c r="AG170" s="148" t="str">
        <f>IF(A170="","",'UT2'!$AF$26)</f>
        <v/>
      </c>
      <c r="AH170" s="151" t="str">
        <f t="shared" si="5"/>
        <v/>
      </c>
    </row>
    <row r="171" spans="1:34">
      <c r="A171" s="148" t="str">
        <f>IF(OR(IFERROR('UT2'!$W$27&gt;=$B$3,FALSE),'UT2'!$AC$27="Forcée",'UT2'!$X$27&lt;&gt;"",'UT2'!$AA$27&lt;&gt;""),"UT2-27","")</f>
        <v/>
      </c>
      <c r="B171" s="148" t="str">
        <f>IF(OR(IFERROR('UT2'!$W$27&gt;=$B$3,FALSE),'UT2'!$AC$27="Forcée",'UT2'!$X$27&lt;&gt;"",'UT2'!$AA$27&lt;&gt;""),"UT2","")</f>
        <v/>
      </c>
      <c r="C171" s="148" t="str">
        <f>IF(OR(IFERROR('UT2'!$W$27&gt;=$B$3,FALSE),'UT2'!$AC$27="Forcée",'UT2'!$X$27&lt;&gt;"",'UT2'!$AA$27&lt;&gt;""),'UT2'!$A$27,"")</f>
        <v/>
      </c>
      <c r="D171" s="148" t="str">
        <f>IF(OR(IFERROR('UT2'!$W$27&gt;=$B$3,FALSE),'UT2'!$AC$27="Forcée",'UT2'!$X$27&lt;&gt;"",'UT2'!$AA$27&lt;&gt;""),'UT2'!$B$27,"")</f>
        <v/>
      </c>
      <c r="E171" s="148" t="str">
        <f>IF(OR(IFERROR('UT2'!$W$27&gt;=$B$3,FALSE),'UT2'!$AC$27="Forcée",'UT2'!$X$27&lt;&gt;"",'UT2'!$AA$27&lt;&gt;""),'UT2'!$C$27,"")</f>
        <v/>
      </c>
      <c r="F171" s="148" t="str">
        <f>IF(OR(IFERROR('UT2'!$W$27&gt;=$B$3,FALSE),'UT2'!$AC$27="Forcée",'UT2'!$X$27&lt;&gt;"",'UT2'!$AA$27&lt;&gt;""),'UT2'!$D$27,"")</f>
        <v/>
      </c>
      <c r="G171" s="148" t="str">
        <f>IF(OR(IFERROR('UT2'!$W$27&gt;=$B$3,FALSE),'UT2'!$AC$27="Forcée",'UT2'!$X$27&lt;&gt;"",'UT2'!$AA$27&lt;&gt;""),'UT2'!$E$27,"")</f>
        <v/>
      </c>
      <c r="H171" s="148" t="str">
        <f>IF(OR(IFERROR('UT2'!$W$27&gt;=$B$3,FALSE),'UT2'!$AC$27="Forcée",'UT2'!$X$27&lt;&gt;"",'UT2'!$AA$27&lt;&gt;""),'UT2'!$H$27,"")</f>
        <v/>
      </c>
      <c r="I171" s="148" t="str">
        <f>IF(OR(IFERROR('UT2'!$W$27&gt;=$B$3,FALSE),'UT2'!$AC$27="Forcée",'UT2'!$X$27&lt;&gt;"",'UT2'!$AA$27&lt;&gt;""),'UT2'!$W$27,"")</f>
        <v/>
      </c>
      <c r="J171" s="148" t="str">
        <f t="shared" si="4"/>
        <v/>
      </c>
      <c r="K171" s="148" t="str">
        <f>IF(A171="","",IF('UT2'!$AC$27="Forcée","Forcée",IF('UT2'!$AC$27="Exclue","Exclue","Automatique")))</f>
        <v/>
      </c>
      <c r="L171" s="148" t="str">
        <f>IF(A171="","",IF('UT2'!$AC$27="Exclue","Exclu",IF('UT2'!$W$27&gt;=$B$3,"Actif - risque significatif",IF(AND('UT2'!$W$27&lt;$B$3,'UT2'!$AD$27="Oui"),"Maîtrisé / clôturable","Maîtrisé - à vérifier"))))</f>
        <v/>
      </c>
      <c r="M171" s="148" t="str">
        <f>IF(A171="","",IF('UT2'!$W$27&gt;=16,"P1 - Critique",IF('UT2'!$W$27&gt;=13,"P2 - Haute",IF('UT2'!$W$27&gt;=9,"P3 - Moyenne","P4 - Basse"))))</f>
        <v/>
      </c>
      <c r="N171" s="148"/>
      <c r="O171" s="148" t="str">
        <f>IF(A171="","",'UT2'!$X$27)</f>
        <v/>
      </c>
      <c r="P171" s="148"/>
      <c r="Q171" s="148"/>
      <c r="R171" s="148" t="str">
        <f>IF(A171="","",'UT2'!$Z$27)</f>
        <v/>
      </c>
      <c r="S171" s="148"/>
      <c r="T171" s="148"/>
      <c r="U171" s="149"/>
      <c r="V171" s="150"/>
      <c r="W171" s="150" t="str">
        <f>IF(A171="","",'UT2'!$Y$27)</f>
        <v/>
      </c>
      <c r="X171" s="148"/>
      <c r="Y171" s="148"/>
      <c r="Z171" s="148"/>
      <c r="AA171" s="148"/>
      <c r="AB171" s="148" t="str">
        <f>IF(A171="","",'UT2'!$AA$27)</f>
        <v/>
      </c>
      <c r="AC171" s="148" t="str">
        <f>IF(A171="","",'UT2'!$AD$27)</f>
        <v/>
      </c>
      <c r="AD171" s="150" t="str">
        <f>IF(A171="","",'UT2'!$AE$27)</f>
        <v/>
      </c>
      <c r="AE171" s="148"/>
      <c r="AF171" s="148"/>
      <c r="AG171" s="148" t="str">
        <f>IF(A171="","",'UT2'!$AF$27)</f>
        <v/>
      </c>
      <c r="AH171" s="151" t="str">
        <f t="shared" si="5"/>
        <v/>
      </c>
    </row>
    <row r="172" spans="1:34">
      <c r="A172" s="148" t="str">
        <f>IF(OR(IFERROR('UT2'!$W$28&gt;=$B$3,FALSE),'UT2'!$AC$28="Forcée",'UT2'!$X$28&lt;&gt;"",'UT2'!$AA$28&lt;&gt;""),"UT2-28","")</f>
        <v/>
      </c>
      <c r="B172" s="148" t="str">
        <f>IF(OR(IFERROR('UT2'!$W$28&gt;=$B$3,FALSE),'UT2'!$AC$28="Forcée",'UT2'!$X$28&lt;&gt;"",'UT2'!$AA$28&lt;&gt;""),"UT2","")</f>
        <v/>
      </c>
      <c r="C172" s="148" t="str">
        <f>IF(OR(IFERROR('UT2'!$W$28&gt;=$B$3,FALSE),'UT2'!$AC$28="Forcée",'UT2'!$X$28&lt;&gt;"",'UT2'!$AA$28&lt;&gt;""),'UT2'!$A$28,"")</f>
        <v/>
      </c>
      <c r="D172" s="148" t="str">
        <f>IF(OR(IFERROR('UT2'!$W$28&gt;=$B$3,FALSE),'UT2'!$AC$28="Forcée",'UT2'!$X$28&lt;&gt;"",'UT2'!$AA$28&lt;&gt;""),'UT2'!$B$28,"")</f>
        <v/>
      </c>
      <c r="E172" s="148" t="str">
        <f>IF(OR(IFERROR('UT2'!$W$28&gt;=$B$3,FALSE),'UT2'!$AC$28="Forcée",'UT2'!$X$28&lt;&gt;"",'UT2'!$AA$28&lt;&gt;""),'UT2'!$C$28,"")</f>
        <v/>
      </c>
      <c r="F172" s="148" t="str">
        <f>IF(OR(IFERROR('UT2'!$W$28&gt;=$B$3,FALSE),'UT2'!$AC$28="Forcée",'UT2'!$X$28&lt;&gt;"",'UT2'!$AA$28&lt;&gt;""),'UT2'!$D$28,"")</f>
        <v/>
      </c>
      <c r="G172" s="148" t="str">
        <f>IF(OR(IFERROR('UT2'!$W$28&gt;=$B$3,FALSE),'UT2'!$AC$28="Forcée",'UT2'!$X$28&lt;&gt;"",'UT2'!$AA$28&lt;&gt;""),'UT2'!$E$28,"")</f>
        <v/>
      </c>
      <c r="H172" s="148" t="str">
        <f>IF(OR(IFERROR('UT2'!$W$28&gt;=$B$3,FALSE),'UT2'!$AC$28="Forcée",'UT2'!$X$28&lt;&gt;"",'UT2'!$AA$28&lt;&gt;""),'UT2'!$H$28,"")</f>
        <v/>
      </c>
      <c r="I172" s="148" t="str">
        <f>IF(OR(IFERROR('UT2'!$W$28&gt;=$B$3,FALSE),'UT2'!$AC$28="Forcée",'UT2'!$X$28&lt;&gt;"",'UT2'!$AA$28&lt;&gt;""),'UT2'!$W$28,"")</f>
        <v/>
      </c>
      <c r="J172" s="148" t="str">
        <f t="shared" si="4"/>
        <v/>
      </c>
      <c r="K172" s="148" t="str">
        <f>IF(A172="","",IF('UT2'!$AC$28="Forcée","Forcée",IF('UT2'!$AC$28="Exclue","Exclue","Automatique")))</f>
        <v/>
      </c>
      <c r="L172" s="148" t="str">
        <f>IF(A172="","",IF('UT2'!$AC$28="Exclue","Exclu",IF('UT2'!$W$28&gt;=$B$3,"Actif - risque significatif",IF(AND('UT2'!$W$28&lt;$B$3,'UT2'!$AD$28="Oui"),"Maîtrisé / clôturable","Maîtrisé - à vérifier"))))</f>
        <v/>
      </c>
      <c r="M172" s="148" t="str">
        <f>IF(A172="","",IF('UT2'!$W$28&gt;=16,"P1 - Critique",IF('UT2'!$W$28&gt;=13,"P2 - Haute",IF('UT2'!$W$28&gt;=9,"P3 - Moyenne","P4 - Basse"))))</f>
        <v/>
      </c>
      <c r="N172" s="148"/>
      <c r="O172" s="148" t="str">
        <f>IF(A172="","",'UT2'!$X$28)</f>
        <v/>
      </c>
      <c r="P172" s="148"/>
      <c r="Q172" s="148"/>
      <c r="R172" s="148" t="str">
        <f>IF(A172="","",'UT2'!$Z$28)</f>
        <v/>
      </c>
      <c r="S172" s="148"/>
      <c r="T172" s="148"/>
      <c r="U172" s="149"/>
      <c r="V172" s="150"/>
      <c r="W172" s="150" t="str">
        <f>IF(A172="","",'UT2'!$Y$28)</f>
        <v/>
      </c>
      <c r="X172" s="148"/>
      <c r="Y172" s="148"/>
      <c r="Z172" s="148"/>
      <c r="AA172" s="148"/>
      <c r="AB172" s="148" t="str">
        <f>IF(A172="","",'UT2'!$AA$28)</f>
        <v/>
      </c>
      <c r="AC172" s="148" t="str">
        <f>IF(A172="","",'UT2'!$AD$28)</f>
        <v/>
      </c>
      <c r="AD172" s="150" t="str">
        <f>IF(A172="","",'UT2'!$AE$28)</f>
        <v/>
      </c>
      <c r="AE172" s="148"/>
      <c r="AF172" s="148"/>
      <c r="AG172" s="148" t="str">
        <f>IF(A172="","",'UT2'!$AF$28)</f>
        <v/>
      </c>
      <c r="AH172" s="151" t="str">
        <f t="shared" si="5"/>
        <v/>
      </c>
    </row>
    <row r="173" spans="1:34">
      <c r="A173" s="148" t="str">
        <f>IF(OR(IFERROR('UT2'!$W$29&gt;=$B$3,FALSE),'UT2'!$AC$29="Forcée",'UT2'!$X$29&lt;&gt;"",'UT2'!$AA$29&lt;&gt;""),"UT2-29","")</f>
        <v/>
      </c>
      <c r="B173" s="148" t="str">
        <f>IF(OR(IFERROR('UT2'!$W$29&gt;=$B$3,FALSE),'UT2'!$AC$29="Forcée",'UT2'!$X$29&lt;&gt;"",'UT2'!$AA$29&lt;&gt;""),"UT2","")</f>
        <v/>
      </c>
      <c r="C173" s="148" t="str">
        <f>IF(OR(IFERROR('UT2'!$W$29&gt;=$B$3,FALSE),'UT2'!$AC$29="Forcée",'UT2'!$X$29&lt;&gt;"",'UT2'!$AA$29&lt;&gt;""),'UT2'!$A$29,"")</f>
        <v/>
      </c>
      <c r="D173" s="148" t="str">
        <f>IF(OR(IFERROR('UT2'!$W$29&gt;=$B$3,FALSE),'UT2'!$AC$29="Forcée",'UT2'!$X$29&lt;&gt;"",'UT2'!$AA$29&lt;&gt;""),'UT2'!$B$29,"")</f>
        <v/>
      </c>
      <c r="E173" s="148" t="str">
        <f>IF(OR(IFERROR('UT2'!$W$29&gt;=$B$3,FALSE),'UT2'!$AC$29="Forcée",'UT2'!$X$29&lt;&gt;"",'UT2'!$AA$29&lt;&gt;""),'UT2'!$C$29,"")</f>
        <v/>
      </c>
      <c r="F173" s="148" t="str">
        <f>IF(OR(IFERROR('UT2'!$W$29&gt;=$B$3,FALSE),'UT2'!$AC$29="Forcée",'UT2'!$X$29&lt;&gt;"",'UT2'!$AA$29&lt;&gt;""),'UT2'!$D$29,"")</f>
        <v/>
      </c>
      <c r="G173" s="148" t="str">
        <f>IF(OR(IFERROR('UT2'!$W$29&gt;=$B$3,FALSE),'UT2'!$AC$29="Forcée",'UT2'!$X$29&lt;&gt;"",'UT2'!$AA$29&lt;&gt;""),'UT2'!$E$29,"")</f>
        <v/>
      </c>
      <c r="H173" s="148" t="str">
        <f>IF(OR(IFERROR('UT2'!$W$29&gt;=$B$3,FALSE),'UT2'!$AC$29="Forcée",'UT2'!$X$29&lt;&gt;"",'UT2'!$AA$29&lt;&gt;""),'UT2'!$H$29,"")</f>
        <v/>
      </c>
      <c r="I173" s="148" t="str">
        <f>IF(OR(IFERROR('UT2'!$W$29&gt;=$B$3,FALSE),'UT2'!$AC$29="Forcée",'UT2'!$X$29&lt;&gt;"",'UT2'!$AA$29&lt;&gt;""),'UT2'!$W$29,"")</f>
        <v/>
      </c>
      <c r="J173" s="148" t="str">
        <f t="shared" si="4"/>
        <v/>
      </c>
      <c r="K173" s="148" t="str">
        <f>IF(A173="","",IF('UT2'!$AC$29="Forcée","Forcée",IF('UT2'!$AC$29="Exclue","Exclue","Automatique")))</f>
        <v/>
      </c>
      <c r="L173" s="148" t="str">
        <f>IF(A173="","",IF('UT2'!$AC$29="Exclue","Exclu",IF('UT2'!$W$29&gt;=$B$3,"Actif - risque significatif",IF(AND('UT2'!$W$29&lt;$B$3,'UT2'!$AD$29="Oui"),"Maîtrisé / clôturable","Maîtrisé - à vérifier"))))</f>
        <v/>
      </c>
      <c r="M173" s="148" t="str">
        <f>IF(A173="","",IF('UT2'!$W$29&gt;=16,"P1 - Critique",IF('UT2'!$W$29&gt;=13,"P2 - Haute",IF('UT2'!$W$29&gt;=9,"P3 - Moyenne","P4 - Basse"))))</f>
        <v/>
      </c>
      <c r="N173" s="148"/>
      <c r="O173" s="148" t="str">
        <f>IF(A173="","",'UT2'!$X$29)</f>
        <v/>
      </c>
      <c r="P173" s="148"/>
      <c r="Q173" s="148"/>
      <c r="R173" s="148" t="str">
        <f>IF(A173="","",'UT2'!$Z$29)</f>
        <v/>
      </c>
      <c r="S173" s="148"/>
      <c r="T173" s="148"/>
      <c r="U173" s="149"/>
      <c r="V173" s="150"/>
      <c r="W173" s="150" t="str">
        <f>IF(A173="","",'UT2'!$Y$29)</f>
        <v/>
      </c>
      <c r="X173" s="148"/>
      <c r="Y173" s="148"/>
      <c r="Z173" s="148"/>
      <c r="AA173" s="148"/>
      <c r="AB173" s="148" t="str">
        <f>IF(A173="","",'UT2'!$AA$29)</f>
        <v/>
      </c>
      <c r="AC173" s="148" t="str">
        <f>IF(A173="","",'UT2'!$AD$29)</f>
        <v/>
      </c>
      <c r="AD173" s="150" t="str">
        <f>IF(A173="","",'UT2'!$AE$29)</f>
        <v/>
      </c>
      <c r="AE173" s="148"/>
      <c r="AF173" s="148"/>
      <c r="AG173" s="148" t="str">
        <f>IF(A173="","",'UT2'!$AF$29)</f>
        <v/>
      </c>
      <c r="AH173" s="151" t="str">
        <f t="shared" si="5"/>
        <v/>
      </c>
    </row>
    <row r="174" spans="1:34">
      <c r="A174" s="148" t="str">
        <f>IF(OR(IFERROR('UT2'!$W$30&gt;=$B$3,FALSE),'UT2'!$AC$30="Forcée",'UT2'!$X$30&lt;&gt;"",'UT2'!$AA$30&lt;&gt;""),"UT2-30","")</f>
        <v/>
      </c>
      <c r="B174" s="148" t="str">
        <f>IF(OR(IFERROR('UT2'!$W$30&gt;=$B$3,FALSE),'UT2'!$AC$30="Forcée",'UT2'!$X$30&lt;&gt;"",'UT2'!$AA$30&lt;&gt;""),"UT2","")</f>
        <v/>
      </c>
      <c r="C174" s="148" t="str">
        <f>IF(OR(IFERROR('UT2'!$W$30&gt;=$B$3,FALSE),'UT2'!$AC$30="Forcée",'UT2'!$X$30&lt;&gt;"",'UT2'!$AA$30&lt;&gt;""),'UT2'!$A$30,"")</f>
        <v/>
      </c>
      <c r="D174" s="148" t="str">
        <f>IF(OR(IFERROR('UT2'!$W$30&gt;=$B$3,FALSE),'UT2'!$AC$30="Forcée",'UT2'!$X$30&lt;&gt;"",'UT2'!$AA$30&lt;&gt;""),'UT2'!$B$30,"")</f>
        <v/>
      </c>
      <c r="E174" s="148" t="str">
        <f>IF(OR(IFERROR('UT2'!$W$30&gt;=$B$3,FALSE),'UT2'!$AC$30="Forcée",'UT2'!$X$30&lt;&gt;"",'UT2'!$AA$30&lt;&gt;""),'UT2'!$C$30,"")</f>
        <v/>
      </c>
      <c r="F174" s="148" t="str">
        <f>IF(OR(IFERROR('UT2'!$W$30&gt;=$B$3,FALSE),'UT2'!$AC$30="Forcée",'UT2'!$X$30&lt;&gt;"",'UT2'!$AA$30&lt;&gt;""),'UT2'!$D$30,"")</f>
        <v/>
      </c>
      <c r="G174" s="148" t="str">
        <f>IF(OR(IFERROR('UT2'!$W$30&gt;=$B$3,FALSE),'UT2'!$AC$30="Forcée",'UT2'!$X$30&lt;&gt;"",'UT2'!$AA$30&lt;&gt;""),'UT2'!$E$30,"")</f>
        <v/>
      </c>
      <c r="H174" s="148" t="str">
        <f>IF(OR(IFERROR('UT2'!$W$30&gt;=$B$3,FALSE),'UT2'!$AC$30="Forcée",'UT2'!$X$30&lt;&gt;"",'UT2'!$AA$30&lt;&gt;""),'UT2'!$H$30,"")</f>
        <v/>
      </c>
      <c r="I174" s="148" t="str">
        <f>IF(OR(IFERROR('UT2'!$W$30&gt;=$B$3,FALSE),'UT2'!$AC$30="Forcée",'UT2'!$X$30&lt;&gt;"",'UT2'!$AA$30&lt;&gt;""),'UT2'!$W$30,"")</f>
        <v/>
      </c>
      <c r="J174" s="148" t="str">
        <f t="shared" si="4"/>
        <v/>
      </c>
      <c r="K174" s="148" t="str">
        <f>IF(A174="","",IF('UT2'!$AC$30="Forcée","Forcée",IF('UT2'!$AC$30="Exclue","Exclue","Automatique")))</f>
        <v/>
      </c>
      <c r="L174" s="148" t="str">
        <f>IF(A174="","",IF('UT2'!$AC$30="Exclue","Exclu",IF('UT2'!$W$30&gt;=$B$3,"Actif - risque significatif",IF(AND('UT2'!$W$30&lt;$B$3,'UT2'!$AD$30="Oui"),"Maîtrisé / clôturable","Maîtrisé - à vérifier"))))</f>
        <v/>
      </c>
      <c r="M174" s="148" t="str">
        <f>IF(A174="","",IF('UT2'!$W$30&gt;=16,"P1 - Critique",IF('UT2'!$W$30&gt;=13,"P2 - Haute",IF('UT2'!$W$30&gt;=9,"P3 - Moyenne","P4 - Basse"))))</f>
        <v/>
      </c>
      <c r="N174" s="148"/>
      <c r="O174" s="148" t="str">
        <f>IF(A174="","",'UT2'!$X$30)</f>
        <v/>
      </c>
      <c r="P174" s="148"/>
      <c r="Q174" s="148"/>
      <c r="R174" s="148" t="str">
        <f>IF(A174="","",'UT2'!$Z$30)</f>
        <v/>
      </c>
      <c r="S174" s="148"/>
      <c r="T174" s="148"/>
      <c r="U174" s="149"/>
      <c r="V174" s="150"/>
      <c r="W174" s="150" t="str">
        <f>IF(A174="","",'UT2'!$Y$30)</f>
        <v/>
      </c>
      <c r="X174" s="148"/>
      <c r="Y174" s="148"/>
      <c r="Z174" s="148"/>
      <c r="AA174" s="148"/>
      <c r="AB174" s="148" t="str">
        <f>IF(A174="","",'UT2'!$AA$30)</f>
        <v/>
      </c>
      <c r="AC174" s="148" t="str">
        <f>IF(A174="","",'UT2'!$AD$30)</f>
        <v/>
      </c>
      <c r="AD174" s="150" t="str">
        <f>IF(A174="","",'UT2'!$AE$30)</f>
        <v/>
      </c>
      <c r="AE174" s="148"/>
      <c r="AF174" s="148"/>
      <c r="AG174" s="148" t="str">
        <f>IF(A174="","",'UT2'!$AF$30)</f>
        <v/>
      </c>
      <c r="AH174" s="151" t="str">
        <f t="shared" si="5"/>
        <v/>
      </c>
    </row>
    <row r="175" spans="1:34">
      <c r="A175" s="148" t="str">
        <f>IF(OR(IFERROR('UT2'!$W$31&gt;=$B$3,FALSE),'UT2'!$AC$31="Forcée",'UT2'!$X$31&lt;&gt;"",'UT2'!$AA$31&lt;&gt;""),"UT2-31","")</f>
        <v/>
      </c>
      <c r="B175" s="148" t="str">
        <f>IF(OR(IFERROR('UT2'!$W$31&gt;=$B$3,FALSE),'UT2'!$AC$31="Forcée",'UT2'!$X$31&lt;&gt;"",'UT2'!$AA$31&lt;&gt;""),"UT2","")</f>
        <v/>
      </c>
      <c r="C175" s="148" t="str">
        <f>IF(OR(IFERROR('UT2'!$W$31&gt;=$B$3,FALSE),'UT2'!$AC$31="Forcée",'UT2'!$X$31&lt;&gt;"",'UT2'!$AA$31&lt;&gt;""),'UT2'!$A$31,"")</f>
        <v/>
      </c>
      <c r="D175" s="148" t="str">
        <f>IF(OR(IFERROR('UT2'!$W$31&gt;=$B$3,FALSE),'UT2'!$AC$31="Forcée",'UT2'!$X$31&lt;&gt;"",'UT2'!$AA$31&lt;&gt;""),'UT2'!$B$31,"")</f>
        <v/>
      </c>
      <c r="E175" s="148" t="str">
        <f>IF(OR(IFERROR('UT2'!$W$31&gt;=$B$3,FALSE),'UT2'!$AC$31="Forcée",'UT2'!$X$31&lt;&gt;"",'UT2'!$AA$31&lt;&gt;""),'UT2'!$C$31,"")</f>
        <v/>
      </c>
      <c r="F175" s="148" t="str">
        <f>IF(OR(IFERROR('UT2'!$W$31&gt;=$B$3,FALSE),'UT2'!$AC$31="Forcée",'UT2'!$X$31&lt;&gt;"",'UT2'!$AA$31&lt;&gt;""),'UT2'!$D$31,"")</f>
        <v/>
      </c>
      <c r="G175" s="148" t="str">
        <f>IF(OR(IFERROR('UT2'!$W$31&gt;=$B$3,FALSE),'UT2'!$AC$31="Forcée",'UT2'!$X$31&lt;&gt;"",'UT2'!$AA$31&lt;&gt;""),'UT2'!$E$31,"")</f>
        <v/>
      </c>
      <c r="H175" s="148" t="str">
        <f>IF(OR(IFERROR('UT2'!$W$31&gt;=$B$3,FALSE),'UT2'!$AC$31="Forcée",'UT2'!$X$31&lt;&gt;"",'UT2'!$AA$31&lt;&gt;""),'UT2'!$H$31,"")</f>
        <v/>
      </c>
      <c r="I175" s="148" t="str">
        <f>IF(OR(IFERROR('UT2'!$W$31&gt;=$B$3,FALSE),'UT2'!$AC$31="Forcée",'UT2'!$X$31&lt;&gt;"",'UT2'!$AA$31&lt;&gt;""),'UT2'!$W$31,"")</f>
        <v/>
      </c>
      <c r="J175" s="148" t="str">
        <f t="shared" si="4"/>
        <v/>
      </c>
      <c r="K175" s="148" t="str">
        <f>IF(A175="","",IF('UT2'!$AC$31="Forcée","Forcée",IF('UT2'!$AC$31="Exclue","Exclue","Automatique")))</f>
        <v/>
      </c>
      <c r="L175" s="148" t="str">
        <f>IF(A175="","",IF('UT2'!$AC$31="Exclue","Exclu",IF('UT2'!$W$31&gt;=$B$3,"Actif - risque significatif",IF(AND('UT2'!$W$31&lt;$B$3,'UT2'!$AD$31="Oui"),"Maîtrisé / clôturable","Maîtrisé - à vérifier"))))</f>
        <v/>
      </c>
      <c r="M175" s="148" t="str">
        <f>IF(A175="","",IF('UT2'!$W$31&gt;=16,"P1 - Critique",IF('UT2'!$W$31&gt;=13,"P2 - Haute",IF('UT2'!$W$31&gt;=9,"P3 - Moyenne","P4 - Basse"))))</f>
        <v/>
      </c>
      <c r="N175" s="148"/>
      <c r="O175" s="148" t="str">
        <f>IF(A175="","",'UT2'!$X$31)</f>
        <v/>
      </c>
      <c r="P175" s="148"/>
      <c r="Q175" s="148"/>
      <c r="R175" s="148" t="str">
        <f>IF(A175="","",'UT2'!$Z$31)</f>
        <v/>
      </c>
      <c r="S175" s="148"/>
      <c r="T175" s="148"/>
      <c r="U175" s="149"/>
      <c r="V175" s="150"/>
      <c r="W175" s="150" t="str">
        <f>IF(A175="","",'UT2'!$Y$31)</f>
        <v/>
      </c>
      <c r="X175" s="148"/>
      <c r="Y175" s="148"/>
      <c r="Z175" s="148"/>
      <c r="AA175" s="148"/>
      <c r="AB175" s="148" t="str">
        <f>IF(A175="","",'UT2'!$AA$31)</f>
        <v/>
      </c>
      <c r="AC175" s="148" t="str">
        <f>IF(A175="","",'UT2'!$AD$31)</f>
        <v/>
      </c>
      <c r="AD175" s="150" t="str">
        <f>IF(A175="","",'UT2'!$AE$31)</f>
        <v/>
      </c>
      <c r="AE175" s="148"/>
      <c r="AF175" s="148"/>
      <c r="AG175" s="148" t="str">
        <f>IF(A175="","",'UT2'!$AF$31)</f>
        <v/>
      </c>
      <c r="AH175" s="151" t="str">
        <f t="shared" si="5"/>
        <v/>
      </c>
    </row>
    <row r="176" spans="1:34">
      <c r="A176" s="148" t="str">
        <f>IF(OR(IFERROR('UT2'!$W$32&gt;=$B$3,FALSE),'UT2'!$AC$32="Forcée",'UT2'!$X$32&lt;&gt;"",'UT2'!$AA$32&lt;&gt;""),"UT2-32","")</f>
        <v/>
      </c>
      <c r="B176" s="148" t="str">
        <f>IF(OR(IFERROR('UT2'!$W$32&gt;=$B$3,FALSE),'UT2'!$AC$32="Forcée",'UT2'!$X$32&lt;&gt;"",'UT2'!$AA$32&lt;&gt;""),"UT2","")</f>
        <v/>
      </c>
      <c r="C176" s="148" t="str">
        <f>IF(OR(IFERROR('UT2'!$W$32&gt;=$B$3,FALSE),'UT2'!$AC$32="Forcée",'UT2'!$X$32&lt;&gt;"",'UT2'!$AA$32&lt;&gt;""),'UT2'!$A$32,"")</f>
        <v/>
      </c>
      <c r="D176" s="148" t="str">
        <f>IF(OR(IFERROR('UT2'!$W$32&gt;=$B$3,FALSE),'UT2'!$AC$32="Forcée",'UT2'!$X$32&lt;&gt;"",'UT2'!$AA$32&lt;&gt;""),'UT2'!$B$32,"")</f>
        <v/>
      </c>
      <c r="E176" s="148" t="str">
        <f>IF(OR(IFERROR('UT2'!$W$32&gt;=$B$3,FALSE),'UT2'!$AC$32="Forcée",'UT2'!$X$32&lt;&gt;"",'UT2'!$AA$32&lt;&gt;""),'UT2'!$C$32,"")</f>
        <v/>
      </c>
      <c r="F176" s="148" t="str">
        <f>IF(OR(IFERROR('UT2'!$W$32&gt;=$B$3,FALSE),'UT2'!$AC$32="Forcée",'UT2'!$X$32&lt;&gt;"",'UT2'!$AA$32&lt;&gt;""),'UT2'!$D$32,"")</f>
        <v/>
      </c>
      <c r="G176" s="148" t="str">
        <f>IF(OR(IFERROR('UT2'!$W$32&gt;=$B$3,FALSE),'UT2'!$AC$32="Forcée",'UT2'!$X$32&lt;&gt;"",'UT2'!$AA$32&lt;&gt;""),'UT2'!$E$32,"")</f>
        <v/>
      </c>
      <c r="H176" s="148" t="str">
        <f>IF(OR(IFERROR('UT2'!$W$32&gt;=$B$3,FALSE),'UT2'!$AC$32="Forcée",'UT2'!$X$32&lt;&gt;"",'UT2'!$AA$32&lt;&gt;""),'UT2'!$H$32,"")</f>
        <v/>
      </c>
      <c r="I176" s="148" t="str">
        <f>IF(OR(IFERROR('UT2'!$W$32&gt;=$B$3,FALSE),'UT2'!$AC$32="Forcée",'UT2'!$X$32&lt;&gt;"",'UT2'!$AA$32&lt;&gt;""),'UT2'!$W$32,"")</f>
        <v/>
      </c>
      <c r="J176" s="148" t="str">
        <f t="shared" si="4"/>
        <v/>
      </c>
      <c r="K176" s="148" t="str">
        <f>IF(A176="","",IF('UT2'!$AC$32="Forcée","Forcée",IF('UT2'!$AC$32="Exclue","Exclue","Automatique")))</f>
        <v/>
      </c>
      <c r="L176" s="148" t="str">
        <f>IF(A176="","",IF('UT2'!$AC$32="Exclue","Exclu",IF('UT2'!$W$32&gt;=$B$3,"Actif - risque significatif",IF(AND('UT2'!$W$32&lt;$B$3,'UT2'!$AD$32="Oui"),"Maîtrisé / clôturable","Maîtrisé - à vérifier"))))</f>
        <v/>
      </c>
      <c r="M176" s="148" t="str">
        <f>IF(A176="","",IF('UT2'!$W$32&gt;=16,"P1 - Critique",IF('UT2'!$W$32&gt;=13,"P2 - Haute",IF('UT2'!$W$32&gt;=9,"P3 - Moyenne","P4 - Basse"))))</f>
        <v/>
      </c>
      <c r="N176" s="148"/>
      <c r="O176" s="148" t="str">
        <f>IF(A176="","",'UT2'!$X$32)</f>
        <v/>
      </c>
      <c r="P176" s="148"/>
      <c r="Q176" s="148"/>
      <c r="R176" s="148" t="str">
        <f>IF(A176="","",'UT2'!$Z$32)</f>
        <v/>
      </c>
      <c r="S176" s="148"/>
      <c r="T176" s="148"/>
      <c r="U176" s="149"/>
      <c r="V176" s="150"/>
      <c r="W176" s="150" t="str">
        <f>IF(A176="","",'UT2'!$Y$32)</f>
        <v/>
      </c>
      <c r="X176" s="148"/>
      <c r="Y176" s="148"/>
      <c r="Z176" s="148"/>
      <c r="AA176" s="148"/>
      <c r="AB176" s="148" t="str">
        <f>IF(A176="","",'UT2'!$AA$32)</f>
        <v/>
      </c>
      <c r="AC176" s="148" t="str">
        <f>IF(A176="","",'UT2'!$AD$32)</f>
        <v/>
      </c>
      <c r="AD176" s="150" t="str">
        <f>IF(A176="","",'UT2'!$AE$32)</f>
        <v/>
      </c>
      <c r="AE176" s="148"/>
      <c r="AF176" s="148"/>
      <c r="AG176" s="148" t="str">
        <f>IF(A176="","",'UT2'!$AF$32)</f>
        <v/>
      </c>
      <c r="AH176" s="151" t="str">
        <f t="shared" si="5"/>
        <v/>
      </c>
    </row>
    <row r="177" spans="1:34">
      <c r="A177" s="148" t="str">
        <f>IF(OR(IFERROR('UT2'!$W$33&gt;=$B$3,FALSE),'UT2'!$AC$33="Forcée",'UT2'!$X$33&lt;&gt;"",'UT2'!$AA$33&lt;&gt;""),"UT2-33","")</f>
        <v/>
      </c>
      <c r="B177" s="148" t="str">
        <f>IF(OR(IFERROR('UT2'!$W$33&gt;=$B$3,FALSE),'UT2'!$AC$33="Forcée",'UT2'!$X$33&lt;&gt;"",'UT2'!$AA$33&lt;&gt;""),"UT2","")</f>
        <v/>
      </c>
      <c r="C177" s="148" t="str">
        <f>IF(OR(IFERROR('UT2'!$W$33&gt;=$B$3,FALSE),'UT2'!$AC$33="Forcée",'UT2'!$X$33&lt;&gt;"",'UT2'!$AA$33&lt;&gt;""),'UT2'!$A$33,"")</f>
        <v/>
      </c>
      <c r="D177" s="148" t="str">
        <f>IF(OR(IFERROR('UT2'!$W$33&gt;=$B$3,FALSE),'UT2'!$AC$33="Forcée",'UT2'!$X$33&lt;&gt;"",'UT2'!$AA$33&lt;&gt;""),'UT2'!$B$33,"")</f>
        <v/>
      </c>
      <c r="E177" s="148" t="str">
        <f>IF(OR(IFERROR('UT2'!$W$33&gt;=$B$3,FALSE),'UT2'!$AC$33="Forcée",'UT2'!$X$33&lt;&gt;"",'UT2'!$AA$33&lt;&gt;""),'UT2'!$C$33,"")</f>
        <v/>
      </c>
      <c r="F177" s="148" t="str">
        <f>IF(OR(IFERROR('UT2'!$W$33&gt;=$B$3,FALSE),'UT2'!$AC$33="Forcée",'UT2'!$X$33&lt;&gt;"",'UT2'!$AA$33&lt;&gt;""),'UT2'!$D$33,"")</f>
        <v/>
      </c>
      <c r="G177" s="148" t="str">
        <f>IF(OR(IFERROR('UT2'!$W$33&gt;=$B$3,FALSE),'UT2'!$AC$33="Forcée",'UT2'!$X$33&lt;&gt;"",'UT2'!$AA$33&lt;&gt;""),'UT2'!$E$33,"")</f>
        <v/>
      </c>
      <c r="H177" s="148" t="str">
        <f>IF(OR(IFERROR('UT2'!$W$33&gt;=$B$3,FALSE),'UT2'!$AC$33="Forcée",'UT2'!$X$33&lt;&gt;"",'UT2'!$AA$33&lt;&gt;""),'UT2'!$H$33,"")</f>
        <v/>
      </c>
      <c r="I177" s="148" t="str">
        <f>IF(OR(IFERROR('UT2'!$W$33&gt;=$B$3,FALSE),'UT2'!$AC$33="Forcée",'UT2'!$X$33&lt;&gt;"",'UT2'!$AA$33&lt;&gt;""),'UT2'!$W$33,"")</f>
        <v/>
      </c>
      <c r="J177" s="148" t="str">
        <f t="shared" si="4"/>
        <v/>
      </c>
      <c r="K177" s="148" t="str">
        <f>IF(A177="","",IF('UT2'!$AC$33="Forcée","Forcée",IF('UT2'!$AC$33="Exclue","Exclue","Automatique")))</f>
        <v/>
      </c>
      <c r="L177" s="148" t="str">
        <f>IF(A177="","",IF('UT2'!$AC$33="Exclue","Exclu",IF('UT2'!$W$33&gt;=$B$3,"Actif - risque significatif",IF(AND('UT2'!$W$33&lt;$B$3,'UT2'!$AD$33="Oui"),"Maîtrisé / clôturable","Maîtrisé - à vérifier"))))</f>
        <v/>
      </c>
      <c r="M177" s="148" t="str">
        <f>IF(A177="","",IF('UT2'!$W$33&gt;=16,"P1 - Critique",IF('UT2'!$W$33&gt;=13,"P2 - Haute",IF('UT2'!$W$33&gt;=9,"P3 - Moyenne","P4 - Basse"))))</f>
        <v/>
      </c>
      <c r="N177" s="148"/>
      <c r="O177" s="148" t="str">
        <f>IF(A177="","",'UT2'!$X$33)</f>
        <v/>
      </c>
      <c r="P177" s="148"/>
      <c r="Q177" s="148"/>
      <c r="R177" s="148" t="str">
        <f>IF(A177="","",'UT2'!$Z$33)</f>
        <v/>
      </c>
      <c r="S177" s="148"/>
      <c r="T177" s="148"/>
      <c r="U177" s="149"/>
      <c r="V177" s="150"/>
      <c r="W177" s="150" t="str">
        <f>IF(A177="","",'UT2'!$Y$33)</f>
        <v/>
      </c>
      <c r="X177" s="148"/>
      <c r="Y177" s="148"/>
      <c r="Z177" s="148"/>
      <c r="AA177" s="148"/>
      <c r="AB177" s="148" t="str">
        <f>IF(A177="","",'UT2'!$AA$33)</f>
        <v/>
      </c>
      <c r="AC177" s="148" t="str">
        <f>IF(A177="","",'UT2'!$AD$33)</f>
        <v/>
      </c>
      <c r="AD177" s="150" t="str">
        <f>IF(A177="","",'UT2'!$AE$33)</f>
        <v/>
      </c>
      <c r="AE177" s="148"/>
      <c r="AF177" s="148"/>
      <c r="AG177" s="148" t="str">
        <f>IF(A177="","",'UT2'!$AF$33)</f>
        <v/>
      </c>
      <c r="AH177" s="151" t="str">
        <f t="shared" si="5"/>
        <v/>
      </c>
    </row>
    <row r="178" spans="1:34">
      <c r="A178" s="148" t="str">
        <f>IF(OR(IFERROR('UT2'!$W$34&gt;=$B$3,FALSE),'UT2'!$AC$34="Forcée",'UT2'!$X$34&lt;&gt;"",'UT2'!$AA$34&lt;&gt;""),"UT2-34","")</f>
        <v/>
      </c>
      <c r="B178" s="148" t="str">
        <f>IF(OR(IFERROR('UT2'!$W$34&gt;=$B$3,FALSE),'UT2'!$AC$34="Forcée",'UT2'!$X$34&lt;&gt;"",'UT2'!$AA$34&lt;&gt;""),"UT2","")</f>
        <v/>
      </c>
      <c r="C178" s="148" t="str">
        <f>IF(OR(IFERROR('UT2'!$W$34&gt;=$B$3,FALSE),'UT2'!$AC$34="Forcée",'UT2'!$X$34&lt;&gt;"",'UT2'!$AA$34&lt;&gt;""),'UT2'!$A$34,"")</f>
        <v/>
      </c>
      <c r="D178" s="148" t="str">
        <f>IF(OR(IFERROR('UT2'!$W$34&gt;=$B$3,FALSE),'UT2'!$AC$34="Forcée",'UT2'!$X$34&lt;&gt;"",'UT2'!$AA$34&lt;&gt;""),'UT2'!$B$34,"")</f>
        <v/>
      </c>
      <c r="E178" s="148" t="str">
        <f>IF(OR(IFERROR('UT2'!$W$34&gt;=$B$3,FALSE),'UT2'!$AC$34="Forcée",'UT2'!$X$34&lt;&gt;"",'UT2'!$AA$34&lt;&gt;""),'UT2'!$C$34,"")</f>
        <v/>
      </c>
      <c r="F178" s="148" t="str">
        <f>IF(OR(IFERROR('UT2'!$W$34&gt;=$B$3,FALSE),'UT2'!$AC$34="Forcée",'UT2'!$X$34&lt;&gt;"",'UT2'!$AA$34&lt;&gt;""),'UT2'!$D$34,"")</f>
        <v/>
      </c>
      <c r="G178" s="148" t="str">
        <f>IF(OR(IFERROR('UT2'!$W$34&gt;=$B$3,FALSE),'UT2'!$AC$34="Forcée",'UT2'!$X$34&lt;&gt;"",'UT2'!$AA$34&lt;&gt;""),'UT2'!$E$34,"")</f>
        <v/>
      </c>
      <c r="H178" s="148" t="str">
        <f>IF(OR(IFERROR('UT2'!$W$34&gt;=$B$3,FALSE),'UT2'!$AC$34="Forcée",'UT2'!$X$34&lt;&gt;"",'UT2'!$AA$34&lt;&gt;""),'UT2'!$H$34,"")</f>
        <v/>
      </c>
      <c r="I178" s="148" t="str">
        <f>IF(OR(IFERROR('UT2'!$W$34&gt;=$B$3,FALSE),'UT2'!$AC$34="Forcée",'UT2'!$X$34&lt;&gt;"",'UT2'!$AA$34&lt;&gt;""),'UT2'!$W$34,"")</f>
        <v/>
      </c>
      <c r="J178" s="148" t="str">
        <f t="shared" si="4"/>
        <v/>
      </c>
      <c r="K178" s="148" t="str">
        <f>IF(A178="","",IF('UT2'!$AC$34="Forcée","Forcée",IF('UT2'!$AC$34="Exclue","Exclue","Automatique")))</f>
        <v/>
      </c>
      <c r="L178" s="148" t="str">
        <f>IF(A178="","",IF('UT2'!$AC$34="Exclue","Exclu",IF('UT2'!$W$34&gt;=$B$3,"Actif - risque significatif",IF(AND('UT2'!$W$34&lt;$B$3,'UT2'!$AD$34="Oui"),"Maîtrisé / clôturable","Maîtrisé - à vérifier"))))</f>
        <v/>
      </c>
      <c r="M178" s="148" t="str">
        <f>IF(A178="","",IF('UT2'!$W$34&gt;=16,"P1 - Critique",IF('UT2'!$W$34&gt;=13,"P2 - Haute",IF('UT2'!$W$34&gt;=9,"P3 - Moyenne","P4 - Basse"))))</f>
        <v/>
      </c>
      <c r="N178" s="148"/>
      <c r="O178" s="148" t="str">
        <f>IF(A178="","",'UT2'!$X$34)</f>
        <v/>
      </c>
      <c r="P178" s="148"/>
      <c r="Q178" s="148"/>
      <c r="R178" s="148" t="str">
        <f>IF(A178="","",'UT2'!$Z$34)</f>
        <v/>
      </c>
      <c r="S178" s="148"/>
      <c r="T178" s="148"/>
      <c r="U178" s="149"/>
      <c r="V178" s="150"/>
      <c r="W178" s="150" t="str">
        <f>IF(A178="","",'UT2'!$Y$34)</f>
        <v/>
      </c>
      <c r="X178" s="148"/>
      <c r="Y178" s="148"/>
      <c r="Z178" s="148"/>
      <c r="AA178" s="148"/>
      <c r="AB178" s="148" t="str">
        <f>IF(A178="","",'UT2'!$AA$34)</f>
        <v/>
      </c>
      <c r="AC178" s="148" t="str">
        <f>IF(A178="","",'UT2'!$AD$34)</f>
        <v/>
      </c>
      <c r="AD178" s="150" t="str">
        <f>IF(A178="","",'UT2'!$AE$34)</f>
        <v/>
      </c>
      <c r="AE178" s="148"/>
      <c r="AF178" s="148"/>
      <c r="AG178" s="148" t="str">
        <f>IF(A178="","",'UT2'!$AF$34)</f>
        <v/>
      </c>
      <c r="AH178" s="151" t="str">
        <f t="shared" si="5"/>
        <v/>
      </c>
    </row>
    <row r="179" spans="1:34">
      <c r="A179" s="148" t="str">
        <f>IF(OR(IFERROR('UT2'!$W$35&gt;=$B$3,FALSE),'UT2'!$AC$35="Forcée",'UT2'!$X$35&lt;&gt;"",'UT2'!$AA$35&lt;&gt;""),"UT2-35","")</f>
        <v/>
      </c>
      <c r="B179" s="148" t="str">
        <f>IF(OR(IFERROR('UT2'!$W$35&gt;=$B$3,FALSE),'UT2'!$AC$35="Forcée",'UT2'!$X$35&lt;&gt;"",'UT2'!$AA$35&lt;&gt;""),"UT2","")</f>
        <v/>
      </c>
      <c r="C179" s="148" t="str">
        <f>IF(OR(IFERROR('UT2'!$W$35&gt;=$B$3,FALSE),'UT2'!$AC$35="Forcée",'UT2'!$X$35&lt;&gt;"",'UT2'!$AA$35&lt;&gt;""),'UT2'!$A$35,"")</f>
        <v/>
      </c>
      <c r="D179" s="148" t="str">
        <f>IF(OR(IFERROR('UT2'!$W$35&gt;=$B$3,FALSE),'UT2'!$AC$35="Forcée",'UT2'!$X$35&lt;&gt;"",'UT2'!$AA$35&lt;&gt;""),'UT2'!$B$35,"")</f>
        <v/>
      </c>
      <c r="E179" s="148" t="str">
        <f>IF(OR(IFERROR('UT2'!$W$35&gt;=$B$3,FALSE),'UT2'!$AC$35="Forcée",'UT2'!$X$35&lt;&gt;"",'UT2'!$AA$35&lt;&gt;""),'UT2'!$C$35,"")</f>
        <v/>
      </c>
      <c r="F179" s="148" t="str">
        <f>IF(OR(IFERROR('UT2'!$W$35&gt;=$B$3,FALSE),'UT2'!$AC$35="Forcée",'UT2'!$X$35&lt;&gt;"",'UT2'!$AA$35&lt;&gt;""),'UT2'!$D$35,"")</f>
        <v/>
      </c>
      <c r="G179" s="148" t="str">
        <f>IF(OR(IFERROR('UT2'!$W$35&gt;=$B$3,FALSE),'UT2'!$AC$35="Forcée",'UT2'!$X$35&lt;&gt;"",'UT2'!$AA$35&lt;&gt;""),'UT2'!$E$35,"")</f>
        <v/>
      </c>
      <c r="H179" s="148" t="str">
        <f>IF(OR(IFERROR('UT2'!$W$35&gt;=$B$3,FALSE),'UT2'!$AC$35="Forcée",'UT2'!$X$35&lt;&gt;"",'UT2'!$AA$35&lt;&gt;""),'UT2'!$H$35,"")</f>
        <v/>
      </c>
      <c r="I179" s="148" t="str">
        <f>IF(OR(IFERROR('UT2'!$W$35&gt;=$B$3,FALSE),'UT2'!$AC$35="Forcée",'UT2'!$X$35&lt;&gt;"",'UT2'!$AA$35&lt;&gt;""),'UT2'!$W$35,"")</f>
        <v/>
      </c>
      <c r="J179" s="148" t="str">
        <f t="shared" si="4"/>
        <v/>
      </c>
      <c r="K179" s="148" t="str">
        <f>IF(A179="","",IF('UT2'!$AC$35="Forcée","Forcée",IF('UT2'!$AC$35="Exclue","Exclue","Automatique")))</f>
        <v/>
      </c>
      <c r="L179" s="148" t="str">
        <f>IF(A179="","",IF('UT2'!$AC$35="Exclue","Exclu",IF('UT2'!$W$35&gt;=$B$3,"Actif - risque significatif",IF(AND('UT2'!$W$35&lt;$B$3,'UT2'!$AD$35="Oui"),"Maîtrisé / clôturable","Maîtrisé - à vérifier"))))</f>
        <v/>
      </c>
      <c r="M179" s="148" t="str">
        <f>IF(A179="","",IF('UT2'!$W$35&gt;=16,"P1 - Critique",IF('UT2'!$W$35&gt;=13,"P2 - Haute",IF('UT2'!$W$35&gt;=9,"P3 - Moyenne","P4 - Basse"))))</f>
        <v/>
      </c>
      <c r="N179" s="148"/>
      <c r="O179" s="148" t="str">
        <f>IF(A179="","",'UT2'!$X$35)</f>
        <v/>
      </c>
      <c r="P179" s="148"/>
      <c r="Q179" s="148"/>
      <c r="R179" s="148" t="str">
        <f>IF(A179="","",'UT2'!$Z$35)</f>
        <v/>
      </c>
      <c r="S179" s="148"/>
      <c r="T179" s="148"/>
      <c r="U179" s="149"/>
      <c r="V179" s="150"/>
      <c r="W179" s="150" t="str">
        <f>IF(A179="","",'UT2'!$Y$35)</f>
        <v/>
      </c>
      <c r="X179" s="148"/>
      <c r="Y179" s="148"/>
      <c r="Z179" s="148"/>
      <c r="AA179" s="148"/>
      <c r="AB179" s="148" t="str">
        <f>IF(A179="","",'UT2'!$AA$35)</f>
        <v/>
      </c>
      <c r="AC179" s="148" t="str">
        <f>IF(A179="","",'UT2'!$AD$35)</f>
        <v/>
      </c>
      <c r="AD179" s="150" t="str">
        <f>IF(A179="","",'UT2'!$AE$35)</f>
        <v/>
      </c>
      <c r="AE179" s="148"/>
      <c r="AF179" s="148"/>
      <c r="AG179" s="148" t="str">
        <f>IF(A179="","",'UT2'!$AF$35)</f>
        <v/>
      </c>
      <c r="AH179" s="151" t="str">
        <f t="shared" si="5"/>
        <v/>
      </c>
    </row>
    <row r="180" spans="1:34">
      <c r="A180" s="148" t="str">
        <f>IF(OR(IFERROR('UT2'!$W$36&gt;=$B$3,FALSE),'UT2'!$AC$36="Forcée",'UT2'!$X$36&lt;&gt;"",'UT2'!$AA$36&lt;&gt;""),"UT2-36","")</f>
        <v/>
      </c>
      <c r="B180" s="148" t="str">
        <f>IF(OR(IFERROR('UT2'!$W$36&gt;=$B$3,FALSE),'UT2'!$AC$36="Forcée",'UT2'!$X$36&lt;&gt;"",'UT2'!$AA$36&lt;&gt;""),"UT2","")</f>
        <v/>
      </c>
      <c r="C180" s="148" t="str">
        <f>IF(OR(IFERROR('UT2'!$W$36&gt;=$B$3,FALSE),'UT2'!$AC$36="Forcée",'UT2'!$X$36&lt;&gt;"",'UT2'!$AA$36&lt;&gt;""),'UT2'!$A$36,"")</f>
        <v/>
      </c>
      <c r="D180" s="148" t="str">
        <f>IF(OR(IFERROR('UT2'!$W$36&gt;=$B$3,FALSE),'UT2'!$AC$36="Forcée",'UT2'!$X$36&lt;&gt;"",'UT2'!$AA$36&lt;&gt;""),'UT2'!$B$36,"")</f>
        <v/>
      </c>
      <c r="E180" s="148" t="str">
        <f>IF(OR(IFERROR('UT2'!$W$36&gt;=$B$3,FALSE),'UT2'!$AC$36="Forcée",'UT2'!$X$36&lt;&gt;"",'UT2'!$AA$36&lt;&gt;""),'UT2'!$C$36,"")</f>
        <v/>
      </c>
      <c r="F180" s="148" t="str">
        <f>IF(OR(IFERROR('UT2'!$W$36&gt;=$B$3,FALSE),'UT2'!$AC$36="Forcée",'UT2'!$X$36&lt;&gt;"",'UT2'!$AA$36&lt;&gt;""),'UT2'!$D$36,"")</f>
        <v/>
      </c>
      <c r="G180" s="148" t="str">
        <f>IF(OR(IFERROR('UT2'!$W$36&gt;=$B$3,FALSE),'UT2'!$AC$36="Forcée",'UT2'!$X$36&lt;&gt;"",'UT2'!$AA$36&lt;&gt;""),'UT2'!$E$36,"")</f>
        <v/>
      </c>
      <c r="H180" s="148" t="str">
        <f>IF(OR(IFERROR('UT2'!$W$36&gt;=$B$3,FALSE),'UT2'!$AC$36="Forcée",'UT2'!$X$36&lt;&gt;"",'UT2'!$AA$36&lt;&gt;""),'UT2'!$H$36,"")</f>
        <v/>
      </c>
      <c r="I180" s="148" t="str">
        <f>IF(OR(IFERROR('UT2'!$W$36&gt;=$B$3,FALSE),'UT2'!$AC$36="Forcée",'UT2'!$X$36&lt;&gt;"",'UT2'!$AA$36&lt;&gt;""),'UT2'!$W$36,"")</f>
        <v/>
      </c>
      <c r="J180" s="148" t="str">
        <f t="shared" si="4"/>
        <v/>
      </c>
      <c r="K180" s="148" t="str">
        <f>IF(A180="","",IF('UT2'!$AC$36="Forcée","Forcée",IF('UT2'!$AC$36="Exclue","Exclue","Automatique")))</f>
        <v/>
      </c>
      <c r="L180" s="148" t="str">
        <f>IF(A180="","",IF('UT2'!$AC$36="Exclue","Exclu",IF('UT2'!$W$36&gt;=$B$3,"Actif - risque significatif",IF(AND('UT2'!$W$36&lt;$B$3,'UT2'!$AD$36="Oui"),"Maîtrisé / clôturable","Maîtrisé - à vérifier"))))</f>
        <v/>
      </c>
      <c r="M180" s="148" t="str">
        <f>IF(A180="","",IF('UT2'!$W$36&gt;=16,"P1 - Critique",IF('UT2'!$W$36&gt;=13,"P2 - Haute",IF('UT2'!$W$36&gt;=9,"P3 - Moyenne","P4 - Basse"))))</f>
        <v/>
      </c>
      <c r="N180" s="148"/>
      <c r="O180" s="148" t="str">
        <f>IF(A180="","",'UT2'!$X$36)</f>
        <v/>
      </c>
      <c r="P180" s="148"/>
      <c r="Q180" s="148"/>
      <c r="R180" s="148" t="str">
        <f>IF(A180="","",'UT2'!$Z$36)</f>
        <v/>
      </c>
      <c r="S180" s="148"/>
      <c r="T180" s="148"/>
      <c r="U180" s="149"/>
      <c r="V180" s="150"/>
      <c r="W180" s="150" t="str">
        <f>IF(A180="","",'UT2'!$Y$36)</f>
        <v/>
      </c>
      <c r="X180" s="148"/>
      <c r="Y180" s="148"/>
      <c r="Z180" s="148"/>
      <c r="AA180" s="148"/>
      <c r="AB180" s="148" t="str">
        <f>IF(A180="","",'UT2'!$AA$36)</f>
        <v/>
      </c>
      <c r="AC180" s="148" t="str">
        <f>IF(A180="","",'UT2'!$AD$36)</f>
        <v/>
      </c>
      <c r="AD180" s="150" t="str">
        <f>IF(A180="","",'UT2'!$AE$36)</f>
        <v/>
      </c>
      <c r="AE180" s="148"/>
      <c r="AF180" s="148"/>
      <c r="AG180" s="148" t="str">
        <f>IF(A180="","",'UT2'!$AF$36)</f>
        <v/>
      </c>
      <c r="AH180" s="151" t="str">
        <f t="shared" si="5"/>
        <v/>
      </c>
    </row>
    <row r="181" spans="1:34">
      <c r="A181" s="148" t="str">
        <f>IF(OR(IFERROR('UT2'!$W$37&gt;=$B$3,FALSE),'UT2'!$AC$37="Forcée",'UT2'!$X$37&lt;&gt;"",'UT2'!$AA$37&lt;&gt;""),"UT2-37","")</f>
        <v/>
      </c>
      <c r="B181" s="148" t="str">
        <f>IF(OR(IFERROR('UT2'!$W$37&gt;=$B$3,FALSE),'UT2'!$AC$37="Forcée",'UT2'!$X$37&lt;&gt;"",'UT2'!$AA$37&lt;&gt;""),"UT2","")</f>
        <v/>
      </c>
      <c r="C181" s="148" t="str">
        <f>IF(OR(IFERROR('UT2'!$W$37&gt;=$B$3,FALSE),'UT2'!$AC$37="Forcée",'UT2'!$X$37&lt;&gt;"",'UT2'!$AA$37&lt;&gt;""),'UT2'!$A$37,"")</f>
        <v/>
      </c>
      <c r="D181" s="148" t="str">
        <f>IF(OR(IFERROR('UT2'!$W$37&gt;=$B$3,FALSE),'UT2'!$AC$37="Forcée",'UT2'!$X$37&lt;&gt;"",'UT2'!$AA$37&lt;&gt;""),'UT2'!$B$37,"")</f>
        <v/>
      </c>
      <c r="E181" s="148" t="str">
        <f>IF(OR(IFERROR('UT2'!$W$37&gt;=$B$3,FALSE),'UT2'!$AC$37="Forcée",'UT2'!$X$37&lt;&gt;"",'UT2'!$AA$37&lt;&gt;""),'UT2'!$C$37,"")</f>
        <v/>
      </c>
      <c r="F181" s="148" t="str">
        <f>IF(OR(IFERROR('UT2'!$W$37&gt;=$B$3,FALSE),'UT2'!$AC$37="Forcée",'UT2'!$X$37&lt;&gt;"",'UT2'!$AA$37&lt;&gt;""),'UT2'!$D$37,"")</f>
        <v/>
      </c>
      <c r="G181" s="148" t="str">
        <f>IF(OR(IFERROR('UT2'!$W$37&gt;=$B$3,FALSE),'UT2'!$AC$37="Forcée",'UT2'!$X$37&lt;&gt;"",'UT2'!$AA$37&lt;&gt;""),'UT2'!$E$37,"")</f>
        <v/>
      </c>
      <c r="H181" s="148" t="str">
        <f>IF(OR(IFERROR('UT2'!$W$37&gt;=$B$3,FALSE),'UT2'!$AC$37="Forcée",'UT2'!$X$37&lt;&gt;"",'UT2'!$AA$37&lt;&gt;""),'UT2'!$H$37,"")</f>
        <v/>
      </c>
      <c r="I181" s="148" t="str">
        <f>IF(OR(IFERROR('UT2'!$W$37&gt;=$B$3,FALSE),'UT2'!$AC$37="Forcée",'UT2'!$X$37&lt;&gt;"",'UT2'!$AA$37&lt;&gt;""),'UT2'!$W$37,"")</f>
        <v/>
      </c>
      <c r="J181" s="148" t="str">
        <f t="shared" si="4"/>
        <v/>
      </c>
      <c r="K181" s="148" t="str">
        <f>IF(A181="","",IF('UT2'!$AC$37="Forcée","Forcée",IF('UT2'!$AC$37="Exclue","Exclue","Automatique")))</f>
        <v/>
      </c>
      <c r="L181" s="148" t="str">
        <f>IF(A181="","",IF('UT2'!$AC$37="Exclue","Exclu",IF('UT2'!$W$37&gt;=$B$3,"Actif - risque significatif",IF(AND('UT2'!$W$37&lt;$B$3,'UT2'!$AD$37="Oui"),"Maîtrisé / clôturable","Maîtrisé - à vérifier"))))</f>
        <v/>
      </c>
      <c r="M181" s="148" t="str">
        <f>IF(A181="","",IF('UT2'!$W$37&gt;=16,"P1 - Critique",IF('UT2'!$W$37&gt;=13,"P2 - Haute",IF('UT2'!$W$37&gt;=9,"P3 - Moyenne","P4 - Basse"))))</f>
        <v/>
      </c>
      <c r="N181" s="148"/>
      <c r="O181" s="148" t="str">
        <f>IF(A181="","",'UT2'!$X$37)</f>
        <v/>
      </c>
      <c r="P181" s="148"/>
      <c r="Q181" s="148"/>
      <c r="R181" s="148" t="str">
        <f>IF(A181="","",'UT2'!$Z$37)</f>
        <v/>
      </c>
      <c r="S181" s="148"/>
      <c r="T181" s="148"/>
      <c r="U181" s="149"/>
      <c r="V181" s="150"/>
      <c r="W181" s="150" t="str">
        <f>IF(A181="","",'UT2'!$Y$37)</f>
        <v/>
      </c>
      <c r="X181" s="148"/>
      <c r="Y181" s="148"/>
      <c r="Z181" s="148"/>
      <c r="AA181" s="148"/>
      <c r="AB181" s="148" t="str">
        <f>IF(A181="","",'UT2'!$AA$37)</f>
        <v/>
      </c>
      <c r="AC181" s="148" t="str">
        <f>IF(A181="","",'UT2'!$AD$37)</f>
        <v/>
      </c>
      <c r="AD181" s="150" t="str">
        <f>IF(A181="","",'UT2'!$AE$37)</f>
        <v/>
      </c>
      <c r="AE181" s="148"/>
      <c r="AF181" s="148"/>
      <c r="AG181" s="148" t="str">
        <f>IF(A181="","",'UT2'!$AF$37)</f>
        <v/>
      </c>
      <c r="AH181" s="151" t="str">
        <f t="shared" si="5"/>
        <v/>
      </c>
    </row>
    <row r="182" spans="1:34">
      <c r="A182" s="148" t="str">
        <f>IF(OR(IFERROR('UT2'!$W$38&gt;=$B$3,FALSE),'UT2'!$AC$38="Forcée",'UT2'!$X$38&lt;&gt;"",'UT2'!$AA$38&lt;&gt;""),"UT2-38","")</f>
        <v/>
      </c>
      <c r="B182" s="148" t="str">
        <f>IF(OR(IFERROR('UT2'!$W$38&gt;=$B$3,FALSE),'UT2'!$AC$38="Forcée",'UT2'!$X$38&lt;&gt;"",'UT2'!$AA$38&lt;&gt;""),"UT2","")</f>
        <v/>
      </c>
      <c r="C182" s="148" t="str">
        <f>IF(OR(IFERROR('UT2'!$W$38&gt;=$B$3,FALSE),'UT2'!$AC$38="Forcée",'UT2'!$X$38&lt;&gt;"",'UT2'!$AA$38&lt;&gt;""),'UT2'!$A$38,"")</f>
        <v/>
      </c>
      <c r="D182" s="148" t="str">
        <f>IF(OR(IFERROR('UT2'!$W$38&gt;=$B$3,FALSE),'UT2'!$AC$38="Forcée",'UT2'!$X$38&lt;&gt;"",'UT2'!$AA$38&lt;&gt;""),'UT2'!$B$38,"")</f>
        <v/>
      </c>
      <c r="E182" s="148" t="str">
        <f>IF(OR(IFERROR('UT2'!$W$38&gt;=$B$3,FALSE),'UT2'!$AC$38="Forcée",'UT2'!$X$38&lt;&gt;"",'UT2'!$AA$38&lt;&gt;""),'UT2'!$C$38,"")</f>
        <v/>
      </c>
      <c r="F182" s="148" t="str">
        <f>IF(OR(IFERROR('UT2'!$W$38&gt;=$B$3,FALSE),'UT2'!$AC$38="Forcée",'UT2'!$X$38&lt;&gt;"",'UT2'!$AA$38&lt;&gt;""),'UT2'!$D$38,"")</f>
        <v/>
      </c>
      <c r="G182" s="148" t="str">
        <f>IF(OR(IFERROR('UT2'!$W$38&gt;=$B$3,FALSE),'UT2'!$AC$38="Forcée",'UT2'!$X$38&lt;&gt;"",'UT2'!$AA$38&lt;&gt;""),'UT2'!$E$38,"")</f>
        <v/>
      </c>
      <c r="H182" s="148" t="str">
        <f>IF(OR(IFERROR('UT2'!$W$38&gt;=$B$3,FALSE),'UT2'!$AC$38="Forcée",'UT2'!$X$38&lt;&gt;"",'UT2'!$AA$38&lt;&gt;""),'UT2'!$H$38,"")</f>
        <v/>
      </c>
      <c r="I182" s="148" t="str">
        <f>IF(OR(IFERROR('UT2'!$W$38&gt;=$B$3,FALSE),'UT2'!$AC$38="Forcée",'UT2'!$X$38&lt;&gt;"",'UT2'!$AA$38&lt;&gt;""),'UT2'!$W$38,"")</f>
        <v/>
      </c>
      <c r="J182" s="148" t="str">
        <f t="shared" si="4"/>
        <v/>
      </c>
      <c r="K182" s="148" t="str">
        <f>IF(A182="","",IF('UT2'!$AC$38="Forcée","Forcée",IF('UT2'!$AC$38="Exclue","Exclue","Automatique")))</f>
        <v/>
      </c>
      <c r="L182" s="148" t="str">
        <f>IF(A182="","",IF('UT2'!$AC$38="Exclue","Exclu",IF('UT2'!$W$38&gt;=$B$3,"Actif - risque significatif",IF(AND('UT2'!$W$38&lt;$B$3,'UT2'!$AD$38="Oui"),"Maîtrisé / clôturable","Maîtrisé - à vérifier"))))</f>
        <v/>
      </c>
      <c r="M182" s="148" t="str">
        <f>IF(A182="","",IF('UT2'!$W$38&gt;=16,"P1 - Critique",IF('UT2'!$W$38&gt;=13,"P2 - Haute",IF('UT2'!$W$38&gt;=9,"P3 - Moyenne","P4 - Basse"))))</f>
        <v/>
      </c>
      <c r="N182" s="148"/>
      <c r="O182" s="148" t="str">
        <f>IF(A182="","",'UT2'!$X$38)</f>
        <v/>
      </c>
      <c r="P182" s="148"/>
      <c r="Q182" s="148"/>
      <c r="R182" s="148" t="str">
        <f>IF(A182="","",'UT2'!$Z$38)</f>
        <v/>
      </c>
      <c r="S182" s="148"/>
      <c r="T182" s="148"/>
      <c r="U182" s="149"/>
      <c r="V182" s="150"/>
      <c r="W182" s="150" t="str">
        <f>IF(A182="","",'UT2'!$Y$38)</f>
        <v/>
      </c>
      <c r="X182" s="148"/>
      <c r="Y182" s="148"/>
      <c r="Z182" s="148"/>
      <c r="AA182" s="148"/>
      <c r="AB182" s="148" t="str">
        <f>IF(A182="","",'UT2'!$AA$38)</f>
        <v/>
      </c>
      <c r="AC182" s="148" t="str">
        <f>IF(A182="","",'UT2'!$AD$38)</f>
        <v/>
      </c>
      <c r="AD182" s="150" t="str">
        <f>IF(A182="","",'UT2'!$AE$38)</f>
        <v/>
      </c>
      <c r="AE182" s="148"/>
      <c r="AF182" s="148"/>
      <c r="AG182" s="148" t="str">
        <f>IF(A182="","",'UT2'!$AF$38)</f>
        <v/>
      </c>
      <c r="AH182" s="151" t="str">
        <f t="shared" si="5"/>
        <v/>
      </c>
    </row>
    <row r="183" spans="1:34">
      <c r="A183" s="148" t="str">
        <f>IF(OR(IFERROR('UT2'!$W$39&gt;=$B$3,FALSE),'UT2'!$AC$39="Forcée",'UT2'!$X$39&lt;&gt;"",'UT2'!$AA$39&lt;&gt;""),"UT2-39","")</f>
        <v/>
      </c>
      <c r="B183" s="148" t="str">
        <f>IF(OR(IFERROR('UT2'!$W$39&gt;=$B$3,FALSE),'UT2'!$AC$39="Forcée",'UT2'!$X$39&lt;&gt;"",'UT2'!$AA$39&lt;&gt;""),"UT2","")</f>
        <v/>
      </c>
      <c r="C183" s="148" t="str">
        <f>IF(OR(IFERROR('UT2'!$W$39&gt;=$B$3,FALSE),'UT2'!$AC$39="Forcée",'UT2'!$X$39&lt;&gt;"",'UT2'!$AA$39&lt;&gt;""),'UT2'!$A$39,"")</f>
        <v/>
      </c>
      <c r="D183" s="148" t="str">
        <f>IF(OR(IFERROR('UT2'!$W$39&gt;=$B$3,FALSE),'UT2'!$AC$39="Forcée",'UT2'!$X$39&lt;&gt;"",'UT2'!$AA$39&lt;&gt;""),'UT2'!$B$39,"")</f>
        <v/>
      </c>
      <c r="E183" s="148" t="str">
        <f>IF(OR(IFERROR('UT2'!$W$39&gt;=$B$3,FALSE),'UT2'!$AC$39="Forcée",'UT2'!$X$39&lt;&gt;"",'UT2'!$AA$39&lt;&gt;""),'UT2'!$C$39,"")</f>
        <v/>
      </c>
      <c r="F183" s="148" t="str">
        <f>IF(OR(IFERROR('UT2'!$W$39&gt;=$B$3,FALSE),'UT2'!$AC$39="Forcée",'UT2'!$X$39&lt;&gt;"",'UT2'!$AA$39&lt;&gt;""),'UT2'!$D$39,"")</f>
        <v/>
      </c>
      <c r="G183" s="148" t="str">
        <f>IF(OR(IFERROR('UT2'!$W$39&gt;=$B$3,FALSE),'UT2'!$AC$39="Forcée",'UT2'!$X$39&lt;&gt;"",'UT2'!$AA$39&lt;&gt;""),'UT2'!$E$39,"")</f>
        <v/>
      </c>
      <c r="H183" s="148" t="str">
        <f>IF(OR(IFERROR('UT2'!$W$39&gt;=$B$3,FALSE),'UT2'!$AC$39="Forcée",'UT2'!$X$39&lt;&gt;"",'UT2'!$AA$39&lt;&gt;""),'UT2'!$H$39,"")</f>
        <v/>
      </c>
      <c r="I183" s="148" t="str">
        <f>IF(OR(IFERROR('UT2'!$W$39&gt;=$B$3,FALSE),'UT2'!$AC$39="Forcée",'UT2'!$X$39&lt;&gt;"",'UT2'!$AA$39&lt;&gt;""),'UT2'!$W$39,"")</f>
        <v/>
      </c>
      <c r="J183" s="148" t="str">
        <f t="shared" si="4"/>
        <v/>
      </c>
      <c r="K183" s="148" t="str">
        <f>IF(A183="","",IF('UT2'!$AC$39="Forcée","Forcée",IF('UT2'!$AC$39="Exclue","Exclue","Automatique")))</f>
        <v/>
      </c>
      <c r="L183" s="148" t="str">
        <f>IF(A183="","",IF('UT2'!$AC$39="Exclue","Exclu",IF('UT2'!$W$39&gt;=$B$3,"Actif - risque significatif",IF(AND('UT2'!$W$39&lt;$B$3,'UT2'!$AD$39="Oui"),"Maîtrisé / clôturable","Maîtrisé - à vérifier"))))</f>
        <v/>
      </c>
      <c r="M183" s="148" t="str">
        <f>IF(A183="","",IF('UT2'!$W$39&gt;=16,"P1 - Critique",IF('UT2'!$W$39&gt;=13,"P2 - Haute",IF('UT2'!$W$39&gt;=9,"P3 - Moyenne","P4 - Basse"))))</f>
        <v/>
      </c>
      <c r="N183" s="148"/>
      <c r="O183" s="148" t="str">
        <f>IF(A183="","",'UT2'!$X$39)</f>
        <v/>
      </c>
      <c r="P183" s="148"/>
      <c r="Q183" s="148"/>
      <c r="R183" s="148" t="str">
        <f>IF(A183="","",'UT2'!$Z$39)</f>
        <v/>
      </c>
      <c r="S183" s="148"/>
      <c r="T183" s="148"/>
      <c r="U183" s="149"/>
      <c r="V183" s="150"/>
      <c r="W183" s="150" t="str">
        <f>IF(A183="","",'UT2'!$Y$39)</f>
        <v/>
      </c>
      <c r="X183" s="148"/>
      <c r="Y183" s="148"/>
      <c r="Z183" s="148"/>
      <c r="AA183" s="148"/>
      <c r="AB183" s="148" t="str">
        <f>IF(A183="","",'UT2'!$AA$39)</f>
        <v/>
      </c>
      <c r="AC183" s="148" t="str">
        <f>IF(A183="","",'UT2'!$AD$39)</f>
        <v/>
      </c>
      <c r="AD183" s="150" t="str">
        <f>IF(A183="","",'UT2'!$AE$39)</f>
        <v/>
      </c>
      <c r="AE183" s="148"/>
      <c r="AF183" s="148"/>
      <c r="AG183" s="148" t="str">
        <f>IF(A183="","",'UT2'!$AF$39)</f>
        <v/>
      </c>
      <c r="AH183" s="151" t="str">
        <f t="shared" si="5"/>
        <v/>
      </c>
    </row>
    <row r="184" spans="1:34">
      <c r="A184" s="148" t="str">
        <f>IF(OR(IFERROR('UT2'!$W$40&gt;=$B$3,FALSE),'UT2'!$AC$40="Forcée",'UT2'!$X$40&lt;&gt;"",'UT2'!$AA$40&lt;&gt;""),"UT2-40","")</f>
        <v/>
      </c>
      <c r="B184" s="148" t="str">
        <f>IF(OR(IFERROR('UT2'!$W$40&gt;=$B$3,FALSE),'UT2'!$AC$40="Forcée",'UT2'!$X$40&lt;&gt;"",'UT2'!$AA$40&lt;&gt;""),"UT2","")</f>
        <v/>
      </c>
      <c r="C184" s="148" t="str">
        <f>IF(OR(IFERROR('UT2'!$W$40&gt;=$B$3,FALSE),'UT2'!$AC$40="Forcée",'UT2'!$X$40&lt;&gt;"",'UT2'!$AA$40&lt;&gt;""),'UT2'!$A$40,"")</f>
        <v/>
      </c>
      <c r="D184" s="148" t="str">
        <f>IF(OR(IFERROR('UT2'!$W$40&gt;=$B$3,FALSE),'UT2'!$AC$40="Forcée",'UT2'!$X$40&lt;&gt;"",'UT2'!$AA$40&lt;&gt;""),'UT2'!$B$40,"")</f>
        <v/>
      </c>
      <c r="E184" s="148" t="str">
        <f>IF(OR(IFERROR('UT2'!$W$40&gt;=$B$3,FALSE),'UT2'!$AC$40="Forcée",'UT2'!$X$40&lt;&gt;"",'UT2'!$AA$40&lt;&gt;""),'UT2'!$C$40,"")</f>
        <v/>
      </c>
      <c r="F184" s="148" t="str">
        <f>IF(OR(IFERROR('UT2'!$W$40&gt;=$B$3,FALSE),'UT2'!$AC$40="Forcée",'UT2'!$X$40&lt;&gt;"",'UT2'!$AA$40&lt;&gt;""),'UT2'!$D$40,"")</f>
        <v/>
      </c>
      <c r="G184" s="148" t="str">
        <f>IF(OR(IFERROR('UT2'!$W$40&gt;=$B$3,FALSE),'UT2'!$AC$40="Forcée",'UT2'!$X$40&lt;&gt;"",'UT2'!$AA$40&lt;&gt;""),'UT2'!$E$40,"")</f>
        <v/>
      </c>
      <c r="H184" s="148" t="str">
        <f>IF(OR(IFERROR('UT2'!$W$40&gt;=$B$3,FALSE),'UT2'!$AC$40="Forcée",'UT2'!$X$40&lt;&gt;"",'UT2'!$AA$40&lt;&gt;""),'UT2'!$H$40,"")</f>
        <v/>
      </c>
      <c r="I184" s="148" t="str">
        <f>IF(OR(IFERROR('UT2'!$W$40&gt;=$B$3,FALSE),'UT2'!$AC$40="Forcée",'UT2'!$X$40&lt;&gt;"",'UT2'!$AA$40&lt;&gt;""),'UT2'!$W$40,"")</f>
        <v/>
      </c>
      <c r="J184" s="148" t="str">
        <f t="shared" si="4"/>
        <v/>
      </c>
      <c r="K184" s="148" t="str">
        <f>IF(A184="","",IF('UT2'!$AC$40="Forcée","Forcée",IF('UT2'!$AC$40="Exclue","Exclue","Automatique")))</f>
        <v/>
      </c>
      <c r="L184" s="148" t="str">
        <f>IF(A184="","",IF('UT2'!$AC$40="Exclue","Exclu",IF('UT2'!$W$40&gt;=$B$3,"Actif - risque significatif",IF(AND('UT2'!$W$40&lt;$B$3,'UT2'!$AD$40="Oui"),"Maîtrisé / clôturable","Maîtrisé - à vérifier"))))</f>
        <v/>
      </c>
      <c r="M184" s="148" t="str">
        <f>IF(A184="","",IF('UT2'!$W$40&gt;=16,"P1 - Critique",IF('UT2'!$W$40&gt;=13,"P2 - Haute",IF('UT2'!$W$40&gt;=9,"P3 - Moyenne","P4 - Basse"))))</f>
        <v/>
      </c>
      <c r="N184" s="148"/>
      <c r="O184" s="148" t="str">
        <f>IF(A184="","",'UT2'!$X$40)</f>
        <v/>
      </c>
      <c r="P184" s="148"/>
      <c r="Q184" s="148"/>
      <c r="R184" s="148" t="str">
        <f>IF(A184="","",'UT2'!$Z$40)</f>
        <v/>
      </c>
      <c r="S184" s="148"/>
      <c r="T184" s="148"/>
      <c r="U184" s="149"/>
      <c r="V184" s="150"/>
      <c r="W184" s="150" t="str">
        <f>IF(A184="","",'UT2'!$Y$40)</f>
        <v/>
      </c>
      <c r="X184" s="148"/>
      <c r="Y184" s="148"/>
      <c r="Z184" s="148"/>
      <c r="AA184" s="148"/>
      <c r="AB184" s="148" t="str">
        <f>IF(A184="","",'UT2'!$AA$40)</f>
        <v/>
      </c>
      <c r="AC184" s="148" t="str">
        <f>IF(A184="","",'UT2'!$AD$40)</f>
        <v/>
      </c>
      <c r="AD184" s="150" t="str">
        <f>IF(A184="","",'UT2'!$AE$40)</f>
        <v/>
      </c>
      <c r="AE184" s="148"/>
      <c r="AF184" s="148"/>
      <c r="AG184" s="148" t="str">
        <f>IF(A184="","",'UT2'!$AF$40)</f>
        <v/>
      </c>
      <c r="AH184" s="151" t="str">
        <f t="shared" si="5"/>
        <v/>
      </c>
    </row>
    <row r="185" spans="1:34">
      <c r="A185" s="148" t="str">
        <f>IF(OR(IFERROR('UT2'!$W$41&gt;=$B$3,FALSE),'UT2'!$AC$41="Forcée",'UT2'!$X$41&lt;&gt;"",'UT2'!$AA$41&lt;&gt;""),"UT2-41","")</f>
        <v/>
      </c>
      <c r="B185" s="148" t="str">
        <f>IF(OR(IFERROR('UT2'!$W$41&gt;=$B$3,FALSE),'UT2'!$AC$41="Forcée",'UT2'!$X$41&lt;&gt;"",'UT2'!$AA$41&lt;&gt;""),"UT2","")</f>
        <v/>
      </c>
      <c r="C185" s="148" t="str">
        <f>IF(OR(IFERROR('UT2'!$W$41&gt;=$B$3,FALSE),'UT2'!$AC$41="Forcée",'UT2'!$X$41&lt;&gt;"",'UT2'!$AA$41&lt;&gt;""),'UT2'!$A$41,"")</f>
        <v/>
      </c>
      <c r="D185" s="148" t="str">
        <f>IF(OR(IFERROR('UT2'!$W$41&gt;=$B$3,FALSE),'UT2'!$AC$41="Forcée",'UT2'!$X$41&lt;&gt;"",'UT2'!$AA$41&lt;&gt;""),'UT2'!$B$41,"")</f>
        <v/>
      </c>
      <c r="E185" s="148" t="str">
        <f>IF(OR(IFERROR('UT2'!$W$41&gt;=$B$3,FALSE),'UT2'!$AC$41="Forcée",'UT2'!$X$41&lt;&gt;"",'UT2'!$AA$41&lt;&gt;""),'UT2'!$C$41,"")</f>
        <v/>
      </c>
      <c r="F185" s="148" t="str">
        <f>IF(OR(IFERROR('UT2'!$W$41&gt;=$B$3,FALSE),'UT2'!$AC$41="Forcée",'UT2'!$X$41&lt;&gt;"",'UT2'!$AA$41&lt;&gt;""),'UT2'!$D$41,"")</f>
        <v/>
      </c>
      <c r="G185" s="148" t="str">
        <f>IF(OR(IFERROR('UT2'!$W$41&gt;=$B$3,FALSE),'UT2'!$AC$41="Forcée",'UT2'!$X$41&lt;&gt;"",'UT2'!$AA$41&lt;&gt;""),'UT2'!$E$41,"")</f>
        <v/>
      </c>
      <c r="H185" s="148" t="str">
        <f>IF(OR(IFERROR('UT2'!$W$41&gt;=$B$3,FALSE),'UT2'!$AC$41="Forcée",'UT2'!$X$41&lt;&gt;"",'UT2'!$AA$41&lt;&gt;""),'UT2'!$H$41,"")</f>
        <v/>
      </c>
      <c r="I185" s="148" t="str">
        <f>IF(OR(IFERROR('UT2'!$W$41&gt;=$B$3,FALSE),'UT2'!$AC$41="Forcée",'UT2'!$X$41&lt;&gt;"",'UT2'!$AA$41&lt;&gt;""),'UT2'!$W$41,"")</f>
        <v/>
      </c>
      <c r="J185" s="148" t="str">
        <f t="shared" si="4"/>
        <v/>
      </c>
      <c r="K185" s="148" t="str">
        <f>IF(A185="","",IF('UT2'!$AC$41="Forcée","Forcée",IF('UT2'!$AC$41="Exclue","Exclue","Automatique")))</f>
        <v/>
      </c>
      <c r="L185" s="148" t="str">
        <f>IF(A185="","",IF('UT2'!$AC$41="Exclue","Exclu",IF('UT2'!$W$41&gt;=$B$3,"Actif - risque significatif",IF(AND('UT2'!$W$41&lt;$B$3,'UT2'!$AD$41="Oui"),"Maîtrisé / clôturable","Maîtrisé - à vérifier"))))</f>
        <v/>
      </c>
      <c r="M185" s="148" t="str">
        <f>IF(A185="","",IF('UT2'!$W$41&gt;=16,"P1 - Critique",IF('UT2'!$W$41&gt;=13,"P2 - Haute",IF('UT2'!$W$41&gt;=9,"P3 - Moyenne","P4 - Basse"))))</f>
        <v/>
      </c>
      <c r="N185" s="148"/>
      <c r="O185" s="148" t="str">
        <f>IF(A185="","",'UT2'!$X$41)</f>
        <v/>
      </c>
      <c r="P185" s="148"/>
      <c r="Q185" s="148"/>
      <c r="R185" s="148" t="str">
        <f>IF(A185="","",'UT2'!$Z$41)</f>
        <v/>
      </c>
      <c r="S185" s="148"/>
      <c r="T185" s="148"/>
      <c r="U185" s="149"/>
      <c r="V185" s="150"/>
      <c r="W185" s="150" t="str">
        <f>IF(A185="","",'UT2'!$Y$41)</f>
        <v/>
      </c>
      <c r="X185" s="148"/>
      <c r="Y185" s="148"/>
      <c r="Z185" s="148"/>
      <c r="AA185" s="148"/>
      <c r="AB185" s="148" t="str">
        <f>IF(A185="","",'UT2'!$AA$41)</f>
        <v/>
      </c>
      <c r="AC185" s="148" t="str">
        <f>IF(A185="","",'UT2'!$AD$41)</f>
        <v/>
      </c>
      <c r="AD185" s="150" t="str">
        <f>IF(A185="","",'UT2'!$AE$41)</f>
        <v/>
      </c>
      <c r="AE185" s="148"/>
      <c r="AF185" s="148"/>
      <c r="AG185" s="148" t="str">
        <f>IF(A185="","",'UT2'!$AF$41)</f>
        <v/>
      </c>
      <c r="AH185" s="151" t="str">
        <f t="shared" si="5"/>
        <v/>
      </c>
    </row>
    <row r="186" spans="1:34">
      <c r="A186" s="148" t="str">
        <f>IF(OR(IFERROR('UT2'!$W$42&gt;=$B$3,FALSE),'UT2'!$AC$42="Forcée",'UT2'!$X$42&lt;&gt;"",'UT2'!$AA$42&lt;&gt;""),"UT2-42","")</f>
        <v/>
      </c>
      <c r="B186" s="148" t="str">
        <f>IF(OR(IFERROR('UT2'!$W$42&gt;=$B$3,FALSE),'UT2'!$AC$42="Forcée",'UT2'!$X$42&lt;&gt;"",'UT2'!$AA$42&lt;&gt;""),"UT2","")</f>
        <v/>
      </c>
      <c r="C186" s="148" t="str">
        <f>IF(OR(IFERROR('UT2'!$W$42&gt;=$B$3,FALSE),'UT2'!$AC$42="Forcée",'UT2'!$X$42&lt;&gt;"",'UT2'!$AA$42&lt;&gt;""),'UT2'!$A$42,"")</f>
        <v/>
      </c>
      <c r="D186" s="148" t="str">
        <f>IF(OR(IFERROR('UT2'!$W$42&gt;=$B$3,FALSE),'UT2'!$AC$42="Forcée",'UT2'!$X$42&lt;&gt;"",'UT2'!$AA$42&lt;&gt;""),'UT2'!$B$42,"")</f>
        <v/>
      </c>
      <c r="E186" s="148" t="str">
        <f>IF(OR(IFERROR('UT2'!$W$42&gt;=$B$3,FALSE),'UT2'!$AC$42="Forcée",'UT2'!$X$42&lt;&gt;"",'UT2'!$AA$42&lt;&gt;""),'UT2'!$C$42,"")</f>
        <v/>
      </c>
      <c r="F186" s="148" t="str">
        <f>IF(OR(IFERROR('UT2'!$W$42&gt;=$B$3,FALSE),'UT2'!$AC$42="Forcée",'UT2'!$X$42&lt;&gt;"",'UT2'!$AA$42&lt;&gt;""),'UT2'!$D$42,"")</f>
        <v/>
      </c>
      <c r="G186" s="148" t="str">
        <f>IF(OR(IFERROR('UT2'!$W$42&gt;=$B$3,FALSE),'UT2'!$AC$42="Forcée",'UT2'!$X$42&lt;&gt;"",'UT2'!$AA$42&lt;&gt;""),'UT2'!$E$42,"")</f>
        <v/>
      </c>
      <c r="H186" s="148" t="str">
        <f>IF(OR(IFERROR('UT2'!$W$42&gt;=$B$3,FALSE),'UT2'!$AC$42="Forcée",'UT2'!$X$42&lt;&gt;"",'UT2'!$AA$42&lt;&gt;""),'UT2'!$H$42,"")</f>
        <v/>
      </c>
      <c r="I186" s="148" t="str">
        <f>IF(OR(IFERROR('UT2'!$W$42&gt;=$B$3,FALSE),'UT2'!$AC$42="Forcée",'UT2'!$X$42&lt;&gt;"",'UT2'!$AA$42&lt;&gt;""),'UT2'!$W$42,"")</f>
        <v/>
      </c>
      <c r="J186" s="148" t="str">
        <f t="shared" si="4"/>
        <v/>
      </c>
      <c r="K186" s="148" t="str">
        <f>IF(A186="","",IF('UT2'!$AC$42="Forcée","Forcée",IF('UT2'!$AC$42="Exclue","Exclue","Automatique")))</f>
        <v/>
      </c>
      <c r="L186" s="148" t="str">
        <f>IF(A186="","",IF('UT2'!$AC$42="Exclue","Exclu",IF('UT2'!$W$42&gt;=$B$3,"Actif - risque significatif",IF(AND('UT2'!$W$42&lt;$B$3,'UT2'!$AD$42="Oui"),"Maîtrisé / clôturable","Maîtrisé - à vérifier"))))</f>
        <v/>
      </c>
      <c r="M186" s="148" t="str">
        <f>IF(A186="","",IF('UT2'!$W$42&gt;=16,"P1 - Critique",IF('UT2'!$W$42&gt;=13,"P2 - Haute",IF('UT2'!$W$42&gt;=9,"P3 - Moyenne","P4 - Basse"))))</f>
        <v/>
      </c>
      <c r="N186" s="148"/>
      <c r="O186" s="148" t="str">
        <f>IF(A186="","",'UT2'!$X$42)</f>
        <v/>
      </c>
      <c r="P186" s="148"/>
      <c r="Q186" s="148"/>
      <c r="R186" s="148" t="str">
        <f>IF(A186="","",'UT2'!$Z$42)</f>
        <v/>
      </c>
      <c r="S186" s="148"/>
      <c r="T186" s="148"/>
      <c r="U186" s="149"/>
      <c r="V186" s="150"/>
      <c r="W186" s="150" t="str">
        <f>IF(A186="","",'UT2'!$Y$42)</f>
        <v/>
      </c>
      <c r="X186" s="148"/>
      <c r="Y186" s="148"/>
      <c r="Z186" s="148"/>
      <c r="AA186" s="148"/>
      <c r="AB186" s="148" t="str">
        <f>IF(A186="","",'UT2'!$AA$42)</f>
        <v/>
      </c>
      <c r="AC186" s="148" t="str">
        <f>IF(A186="","",'UT2'!$AD$42)</f>
        <v/>
      </c>
      <c r="AD186" s="150" t="str">
        <f>IF(A186="","",'UT2'!$AE$42)</f>
        <v/>
      </c>
      <c r="AE186" s="148"/>
      <c r="AF186" s="148"/>
      <c r="AG186" s="148" t="str">
        <f>IF(A186="","",'UT2'!$AF$42)</f>
        <v/>
      </c>
      <c r="AH186" s="151" t="str">
        <f t="shared" si="5"/>
        <v/>
      </c>
    </row>
    <row r="187" spans="1:34">
      <c r="A187" s="148" t="str">
        <f>IF(OR(IFERROR('UT2'!$W$43&gt;=$B$3,FALSE),'UT2'!$AC$43="Forcée",'UT2'!$X$43&lt;&gt;"",'UT2'!$AA$43&lt;&gt;""),"UT2-43","")</f>
        <v/>
      </c>
      <c r="B187" s="148" t="str">
        <f>IF(OR(IFERROR('UT2'!$W$43&gt;=$B$3,FALSE),'UT2'!$AC$43="Forcée",'UT2'!$X$43&lt;&gt;"",'UT2'!$AA$43&lt;&gt;""),"UT2","")</f>
        <v/>
      </c>
      <c r="C187" s="148" t="str">
        <f>IF(OR(IFERROR('UT2'!$W$43&gt;=$B$3,FALSE),'UT2'!$AC$43="Forcée",'UT2'!$X$43&lt;&gt;"",'UT2'!$AA$43&lt;&gt;""),'UT2'!$A$43,"")</f>
        <v/>
      </c>
      <c r="D187" s="148" t="str">
        <f>IF(OR(IFERROR('UT2'!$W$43&gt;=$B$3,FALSE),'UT2'!$AC$43="Forcée",'UT2'!$X$43&lt;&gt;"",'UT2'!$AA$43&lt;&gt;""),'UT2'!$B$43,"")</f>
        <v/>
      </c>
      <c r="E187" s="148" t="str">
        <f>IF(OR(IFERROR('UT2'!$W$43&gt;=$B$3,FALSE),'UT2'!$AC$43="Forcée",'UT2'!$X$43&lt;&gt;"",'UT2'!$AA$43&lt;&gt;""),'UT2'!$C$43,"")</f>
        <v/>
      </c>
      <c r="F187" s="148" t="str">
        <f>IF(OR(IFERROR('UT2'!$W$43&gt;=$B$3,FALSE),'UT2'!$AC$43="Forcée",'UT2'!$X$43&lt;&gt;"",'UT2'!$AA$43&lt;&gt;""),'UT2'!$D$43,"")</f>
        <v/>
      </c>
      <c r="G187" s="148" t="str">
        <f>IF(OR(IFERROR('UT2'!$W$43&gt;=$B$3,FALSE),'UT2'!$AC$43="Forcée",'UT2'!$X$43&lt;&gt;"",'UT2'!$AA$43&lt;&gt;""),'UT2'!$E$43,"")</f>
        <v/>
      </c>
      <c r="H187" s="148" t="str">
        <f>IF(OR(IFERROR('UT2'!$W$43&gt;=$B$3,FALSE),'UT2'!$AC$43="Forcée",'UT2'!$X$43&lt;&gt;"",'UT2'!$AA$43&lt;&gt;""),'UT2'!$H$43,"")</f>
        <v/>
      </c>
      <c r="I187" s="148" t="str">
        <f>IF(OR(IFERROR('UT2'!$W$43&gt;=$B$3,FALSE),'UT2'!$AC$43="Forcée",'UT2'!$X$43&lt;&gt;"",'UT2'!$AA$43&lt;&gt;""),'UT2'!$W$43,"")</f>
        <v/>
      </c>
      <c r="J187" s="148" t="str">
        <f t="shared" si="4"/>
        <v/>
      </c>
      <c r="K187" s="148" t="str">
        <f>IF(A187="","",IF('UT2'!$AC$43="Forcée","Forcée",IF('UT2'!$AC$43="Exclue","Exclue","Automatique")))</f>
        <v/>
      </c>
      <c r="L187" s="148" t="str">
        <f>IF(A187="","",IF('UT2'!$AC$43="Exclue","Exclu",IF('UT2'!$W$43&gt;=$B$3,"Actif - risque significatif",IF(AND('UT2'!$W$43&lt;$B$3,'UT2'!$AD$43="Oui"),"Maîtrisé / clôturable","Maîtrisé - à vérifier"))))</f>
        <v/>
      </c>
      <c r="M187" s="148" t="str">
        <f>IF(A187="","",IF('UT2'!$W$43&gt;=16,"P1 - Critique",IF('UT2'!$W$43&gt;=13,"P2 - Haute",IF('UT2'!$W$43&gt;=9,"P3 - Moyenne","P4 - Basse"))))</f>
        <v/>
      </c>
      <c r="N187" s="148"/>
      <c r="O187" s="148" t="str">
        <f>IF(A187="","",'UT2'!$X$43)</f>
        <v/>
      </c>
      <c r="P187" s="148"/>
      <c r="Q187" s="148"/>
      <c r="R187" s="148" t="str">
        <f>IF(A187="","",'UT2'!$Z$43)</f>
        <v/>
      </c>
      <c r="S187" s="148"/>
      <c r="T187" s="148"/>
      <c r="U187" s="149"/>
      <c r="V187" s="150"/>
      <c r="W187" s="150" t="str">
        <f>IF(A187="","",'UT2'!$Y$43)</f>
        <v/>
      </c>
      <c r="X187" s="148"/>
      <c r="Y187" s="148"/>
      <c r="Z187" s="148"/>
      <c r="AA187" s="148"/>
      <c r="AB187" s="148" t="str">
        <f>IF(A187="","",'UT2'!$AA$43)</f>
        <v/>
      </c>
      <c r="AC187" s="148" t="str">
        <f>IF(A187="","",'UT2'!$AD$43)</f>
        <v/>
      </c>
      <c r="AD187" s="150" t="str">
        <f>IF(A187="","",'UT2'!$AE$43)</f>
        <v/>
      </c>
      <c r="AE187" s="148"/>
      <c r="AF187" s="148"/>
      <c r="AG187" s="148" t="str">
        <f>IF(A187="","",'UT2'!$AF$43)</f>
        <v/>
      </c>
      <c r="AH187" s="151" t="str">
        <f t="shared" si="5"/>
        <v/>
      </c>
    </row>
    <row r="188" spans="1:34">
      <c r="A188" s="148" t="str">
        <f>IF(OR(IFERROR('UT2'!$W$44&gt;=$B$3,FALSE),'UT2'!$AC$44="Forcée",'UT2'!$X$44&lt;&gt;"",'UT2'!$AA$44&lt;&gt;""),"UT2-44","")</f>
        <v/>
      </c>
      <c r="B188" s="148" t="str">
        <f>IF(OR(IFERROR('UT2'!$W$44&gt;=$B$3,FALSE),'UT2'!$AC$44="Forcée",'UT2'!$X$44&lt;&gt;"",'UT2'!$AA$44&lt;&gt;""),"UT2","")</f>
        <v/>
      </c>
      <c r="C188" s="148" t="str">
        <f>IF(OR(IFERROR('UT2'!$W$44&gt;=$B$3,FALSE),'UT2'!$AC$44="Forcée",'UT2'!$X$44&lt;&gt;"",'UT2'!$AA$44&lt;&gt;""),'UT2'!$A$44,"")</f>
        <v/>
      </c>
      <c r="D188" s="148" t="str">
        <f>IF(OR(IFERROR('UT2'!$W$44&gt;=$B$3,FALSE),'UT2'!$AC$44="Forcée",'UT2'!$X$44&lt;&gt;"",'UT2'!$AA$44&lt;&gt;""),'UT2'!$B$44,"")</f>
        <v/>
      </c>
      <c r="E188" s="148" t="str">
        <f>IF(OR(IFERROR('UT2'!$W$44&gt;=$B$3,FALSE),'UT2'!$AC$44="Forcée",'UT2'!$X$44&lt;&gt;"",'UT2'!$AA$44&lt;&gt;""),'UT2'!$C$44,"")</f>
        <v/>
      </c>
      <c r="F188" s="148" t="str">
        <f>IF(OR(IFERROR('UT2'!$W$44&gt;=$B$3,FALSE),'UT2'!$AC$44="Forcée",'UT2'!$X$44&lt;&gt;"",'UT2'!$AA$44&lt;&gt;""),'UT2'!$D$44,"")</f>
        <v/>
      </c>
      <c r="G188" s="148" t="str">
        <f>IF(OR(IFERROR('UT2'!$W$44&gt;=$B$3,FALSE),'UT2'!$AC$44="Forcée",'UT2'!$X$44&lt;&gt;"",'UT2'!$AA$44&lt;&gt;""),'UT2'!$E$44,"")</f>
        <v/>
      </c>
      <c r="H188" s="148" t="str">
        <f>IF(OR(IFERROR('UT2'!$W$44&gt;=$B$3,FALSE),'UT2'!$AC$44="Forcée",'UT2'!$X$44&lt;&gt;"",'UT2'!$AA$44&lt;&gt;""),'UT2'!$H$44,"")</f>
        <v/>
      </c>
      <c r="I188" s="148" t="str">
        <f>IF(OR(IFERROR('UT2'!$W$44&gt;=$B$3,FALSE),'UT2'!$AC$44="Forcée",'UT2'!$X$44&lt;&gt;"",'UT2'!$AA$44&lt;&gt;""),'UT2'!$W$44,"")</f>
        <v/>
      </c>
      <c r="J188" s="148" t="str">
        <f t="shared" si="4"/>
        <v/>
      </c>
      <c r="K188" s="148" t="str">
        <f>IF(A188="","",IF('UT2'!$AC$44="Forcée","Forcée",IF('UT2'!$AC$44="Exclue","Exclue","Automatique")))</f>
        <v/>
      </c>
      <c r="L188" s="148" t="str">
        <f>IF(A188="","",IF('UT2'!$AC$44="Exclue","Exclu",IF('UT2'!$W$44&gt;=$B$3,"Actif - risque significatif",IF(AND('UT2'!$W$44&lt;$B$3,'UT2'!$AD$44="Oui"),"Maîtrisé / clôturable","Maîtrisé - à vérifier"))))</f>
        <v/>
      </c>
      <c r="M188" s="148" t="str">
        <f>IF(A188="","",IF('UT2'!$W$44&gt;=16,"P1 - Critique",IF('UT2'!$W$44&gt;=13,"P2 - Haute",IF('UT2'!$W$44&gt;=9,"P3 - Moyenne","P4 - Basse"))))</f>
        <v/>
      </c>
      <c r="N188" s="148"/>
      <c r="O188" s="148" t="str">
        <f>IF(A188="","",'UT2'!$X$44)</f>
        <v/>
      </c>
      <c r="P188" s="148"/>
      <c r="Q188" s="148"/>
      <c r="R188" s="148" t="str">
        <f>IF(A188="","",'UT2'!$Z$44)</f>
        <v/>
      </c>
      <c r="S188" s="148"/>
      <c r="T188" s="148"/>
      <c r="U188" s="149"/>
      <c r="V188" s="150"/>
      <c r="W188" s="150" t="str">
        <f>IF(A188="","",'UT2'!$Y$44)</f>
        <v/>
      </c>
      <c r="X188" s="148"/>
      <c r="Y188" s="148"/>
      <c r="Z188" s="148"/>
      <c r="AA188" s="148"/>
      <c r="AB188" s="148" t="str">
        <f>IF(A188="","",'UT2'!$AA$44)</f>
        <v/>
      </c>
      <c r="AC188" s="148" t="str">
        <f>IF(A188="","",'UT2'!$AD$44)</f>
        <v/>
      </c>
      <c r="AD188" s="150" t="str">
        <f>IF(A188="","",'UT2'!$AE$44)</f>
        <v/>
      </c>
      <c r="AE188" s="148"/>
      <c r="AF188" s="148"/>
      <c r="AG188" s="148" t="str">
        <f>IF(A188="","",'UT2'!$AF$44)</f>
        <v/>
      </c>
      <c r="AH188" s="151" t="str">
        <f t="shared" si="5"/>
        <v/>
      </c>
    </row>
    <row r="189" spans="1:34">
      <c r="A189" s="148" t="str">
        <f>IF(OR(IFERROR('UT2'!$W$45&gt;=$B$3,FALSE),'UT2'!$AC$45="Forcée",'UT2'!$X$45&lt;&gt;"",'UT2'!$AA$45&lt;&gt;""),"UT2-45","")</f>
        <v/>
      </c>
      <c r="B189" s="148" t="str">
        <f>IF(OR(IFERROR('UT2'!$W$45&gt;=$B$3,FALSE),'UT2'!$AC$45="Forcée",'UT2'!$X$45&lt;&gt;"",'UT2'!$AA$45&lt;&gt;""),"UT2","")</f>
        <v/>
      </c>
      <c r="C189" s="148" t="str">
        <f>IF(OR(IFERROR('UT2'!$W$45&gt;=$B$3,FALSE),'UT2'!$AC$45="Forcée",'UT2'!$X$45&lt;&gt;"",'UT2'!$AA$45&lt;&gt;""),'UT2'!$A$45,"")</f>
        <v/>
      </c>
      <c r="D189" s="148" t="str">
        <f>IF(OR(IFERROR('UT2'!$W$45&gt;=$B$3,FALSE),'UT2'!$AC$45="Forcée",'UT2'!$X$45&lt;&gt;"",'UT2'!$AA$45&lt;&gt;""),'UT2'!$B$45,"")</f>
        <v/>
      </c>
      <c r="E189" s="148" t="str">
        <f>IF(OR(IFERROR('UT2'!$W$45&gt;=$B$3,FALSE),'UT2'!$AC$45="Forcée",'UT2'!$X$45&lt;&gt;"",'UT2'!$AA$45&lt;&gt;""),'UT2'!$C$45,"")</f>
        <v/>
      </c>
      <c r="F189" s="148" t="str">
        <f>IF(OR(IFERROR('UT2'!$W$45&gt;=$B$3,FALSE),'UT2'!$AC$45="Forcée",'UT2'!$X$45&lt;&gt;"",'UT2'!$AA$45&lt;&gt;""),'UT2'!$D$45,"")</f>
        <v/>
      </c>
      <c r="G189" s="148" t="str">
        <f>IF(OR(IFERROR('UT2'!$W$45&gt;=$B$3,FALSE),'UT2'!$AC$45="Forcée",'UT2'!$X$45&lt;&gt;"",'UT2'!$AA$45&lt;&gt;""),'UT2'!$E$45,"")</f>
        <v/>
      </c>
      <c r="H189" s="148" t="str">
        <f>IF(OR(IFERROR('UT2'!$W$45&gt;=$B$3,FALSE),'UT2'!$AC$45="Forcée",'UT2'!$X$45&lt;&gt;"",'UT2'!$AA$45&lt;&gt;""),'UT2'!$H$45,"")</f>
        <v/>
      </c>
      <c r="I189" s="148" t="str">
        <f>IF(OR(IFERROR('UT2'!$W$45&gt;=$B$3,FALSE),'UT2'!$AC$45="Forcée",'UT2'!$X$45&lt;&gt;"",'UT2'!$AA$45&lt;&gt;""),'UT2'!$W$45,"")</f>
        <v/>
      </c>
      <c r="J189" s="148" t="str">
        <f t="shared" si="4"/>
        <v/>
      </c>
      <c r="K189" s="148" t="str">
        <f>IF(A189="","",IF('UT2'!$AC$45="Forcée","Forcée",IF('UT2'!$AC$45="Exclue","Exclue","Automatique")))</f>
        <v/>
      </c>
      <c r="L189" s="148" t="str">
        <f>IF(A189="","",IF('UT2'!$AC$45="Exclue","Exclu",IF('UT2'!$W$45&gt;=$B$3,"Actif - risque significatif",IF(AND('UT2'!$W$45&lt;$B$3,'UT2'!$AD$45="Oui"),"Maîtrisé / clôturable","Maîtrisé - à vérifier"))))</f>
        <v/>
      </c>
      <c r="M189" s="148" t="str">
        <f>IF(A189="","",IF('UT2'!$W$45&gt;=16,"P1 - Critique",IF('UT2'!$W$45&gt;=13,"P2 - Haute",IF('UT2'!$W$45&gt;=9,"P3 - Moyenne","P4 - Basse"))))</f>
        <v/>
      </c>
      <c r="N189" s="148"/>
      <c r="O189" s="148" t="str">
        <f>IF(A189="","",'UT2'!$X$45)</f>
        <v/>
      </c>
      <c r="P189" s="148"/>
      <c r="Q189" s="148"/>
      <c r="R189" s="148" t="str">
        <f>IF(A189="","",'UT2'!$Z$45)</f>
        <v/>
      </c>
      <c r="S189" s="148"/>
      <c r="T189" s="148"/>
      <c r="U189" s="149"/>
      <c r="V189" s="150"/>
      <c r="W189" s="150" t="str">
        <f>IF(A189="","",'UT2'!$Y$45)</f>
        <v/>
      </c>
      <c r="X189" s="148"/>
      <c r="Y189" s="148"/>
      <c r="Z189" s="148"/>
      <c r="AA189" s="148"/>
      <c r="AB189" s="148" t="str">
        <f>IF(A189="","",'UT2'!$AA$45)</f>
        <v/>
      </c>
      <c r="AC189" s="148" t="str">
        <f>IF(A189="","",'UT2'!$AD$45)</f>
        <v/>
      </c>
      <c r="AD189" s="150" t="str">
        <f>IF(A189="","",'UT2'!$AE$45)</f>
        <v/>
      </c>
      <c r="AE189" s="148"/>
      <c r="AF189" s="148"/>
      <c r="AG189" s="148" t="str">
        <f>IF(A189="","",'UT2'!$AF$45)</f>
        <v/>
      </c>
      <c r="AH189" s="151" t="str">
        <f t="shared" si="5"/>
        <v/>
      </c>
    </row>
    <row r="190" spans="1:34">
      <c r="A190" s="148" t="str">
        <f>IF(OR(IFERROR('UT2'!$W$46&gt;=$B$3,FALSE),'UT2'!$AC$46="Forcée",'UT2'!$X$46&lt;&gt;"",'UT2'!$AA$46&lt;&gt;""),"UT2-46","")</f>
        <v/>
      </c>
      <c r="B190" s="148" t="str">
        <f>IF(OR(IFERROR('UT2'!$W$46&gt;=$B$3,FALSE),'UT2'!$AC$46="Forcée",'UT2'!$X$46&lt;&gt;"",'UT2'!$AA$46&lt;&gt;""),"UT2","")</f>
        <v/>
      </c>
      <c r="C190" s="148" t="str">
        <f>IF(OR(IFERROR('UT2'!$W$46&gt;=$B$3,FALSE),'UT2'!$AC$46="Forcée",'UT2'!$X$46&lt;&gt;"",'UT2'!$AA$46&lt;&gt;""),'UT2'!$A$46,"")</f>
        <v/>
      </c>
      <c r="D190" s="148" t="str">
        <f>IF(OR(IFERROR('UT2'!$W$46&gt;=$B$3,FALSE),'UT2'!$AC$46="Forcée",'UT2'!$X$46&lt;&gt;"",'UT2'!$AA$46&lt;&gt;""),'UT2'!$B$46,"")</f>
        <v/>
      </c>
      <c r="E190" s="148" t="str">
        <f>IF(OR(IFERROR('UT2'!$W$46&gt;=$B$3,FALSE),'UT2'!$AC$46="Forcée",'UT2'!$X$46&lt;&gt;"",'UT2'!$AA$46&lt;&gt;""),'UT2'!$C$46,"")</f>
        <v/>
      </c>
      <c r="F190" s="148" t="str">
        <f>IF(OR(IFERROR('UT2'!$W$46&gt;=$B$3,FALSE),'UT2'!$AC$46="Forcée",'UT2'!$X$46&lt;&gt;"",'UT2'!$AA$46&lt;&gt;""),'UT2'!$D$46,"")</f>
        <v/>
      </c>
      <c r="G190" s="148" t="str">
        <f>IF(OR(IFERROR('UT2'!$W$46&gt;=$B$3,FALSE),'UT2'!$AC$46="Forcée",'UT2'!$X$46&lt;&gt;"",'UT2'!$AA$46&lt;&gt;""),'UT2'!$E$46,"")</f>
        <v/>
      </c>
      <c r="H190" s="148" t="str">
        <f>IF(OR(IFERROR('UT2'!$W$46&gt;=$B$3,FALSE),'UT2'!$AC$46="Forcée",'UT2'!$X$46&lt;&gt;"",'UT2'!$AA$46&lt;&gt;""),'UT2'!$H$46,"")</f>
        <v/>
      </c>
      <c r="I190" s="148" t="str">
        <f>IF(OR(IFERROR('UT2'!$W$46&gt;=$B$3,FALSE),'UT2'!$AC$46="Forcée",'UT2'!$X$46&lt;&gt;"",'UT2'!$AA$46&lt;&gt;""),'UT2'!$W$46,"")</f>
        <v/>
      </c>
      <c r="J190" s="148" t="str">
        <f t="shared" si="4"/>
        <v/>
      </c>
      <c r="K190" s="148" t="str">
        <f>IF(A190="","",IF('UT2'!$AC$46="Forcée","Forcée",IF('UT2'!$AC$46="Exclue","Exclue","Automatique")))</f>
        <v/>
      </c>
      <c r="L190" s="148" t="str">
        <f>IF(A190="","",IF('UT2'!$AC$46="Exclue","Exclu",IF('UT2'!$W$46&gt;=$B$3,"Actif - risque significatif",IF(AND('UT2'!$W$46&lt;$B$3,'UT2'!$AD$46="Oui"),"Maîtrisé / clôturable","Maîtrisé - à vérifier"))))</f>
        <v/>
      </c>
      <c r="M190" s="148" t="str">
        <f>IF(A190="","",IF('UT2'!$W$46&gt;=16,"P1 - Critique",IF('UT2'!$W$46&gt;=13,"P2 - Haute",IF('UT2'!$W$46&gt;=9,"P3 - Moyenne","P4 - Basse"))))</f>
        <v/>
      </c>
      <c r="N190" s="148"/>
      <c r="O190" s="148" t="str">
        <f>IF(A190="","",'UT2'!$X$46)</f>
        <v/>
      </c>
      <c r="P190" s="148"/>
      <c r="Q190" s="148"/>
      <c r="R190" s="148" t="str">
        <f>IF(A190="","",'UT2'!$Z$46)</f>
        <v/>
      </c>
      <c r="S190" s="148"/>
      <c r="T190" s="148"/>
      <c r="U190" s="149"/>
      <c r="V190" s="150"/>
      <c r="W190" s="150" t="str">
        <f>IF(A190="","",'UT2'!$Y$46)</f>
        <v/>
      </c>
      <c r="X190" s="148"/>
      <c r="Y190" s="148"/>
      <c r="Z190" s="148"/>
      <c r="AA190" s="148"/>
      <c r="AB190" s="148" t="str">
        <f>IF(A190="","",'UT2'!$AA$46)</f>
        <v/>
      </c>
      <c r="AC190" s="148" t="str">
        <f>IF(A190="","",'UT2'!$AD$46)</f>
        <v/>
      </c>
      <c r="AD190" s="150" t="str">
        <f>IF(A190="","",'UT2'!$AE$46)</f>
        <v/>
      </c>
      <c r="AE190" s="148"/>
      <c r="AF190" s="148"/>
      <c r="AG190" s="148" t="str">
        <f>IF(A190="","",'UT2'!$AF$46)</f>
        <v/>
      </c>
      <c r="AH190" s="151" t="str">
        <f t="shared" si="5"/>
        <v/>
      </c>
    </row>
    <row r="191" spans="1:34">
      <c r="A191" s="148" t="str">
        <f>IF(OR(IFERROR('UT2'!$W$47&gt;=$B$3,FALSE),'UT2'!$AC$47="Forcée",'UT2'!$X$47&lt;&gt;"",'UT2'!$AA$47&lt;&gt;""),"UT2-47","")</f>
        <v/>
      </c>
      <c r="B191" s="148" t="str">
        <f>IF(OR(IFERROR('UT2'!$W$47&gt;=$B$3,FALSE),'UT2'!$AC$47="Forcée",'UT2'!$X$47&lt;&gt;"",'UT2'!$AA$47&lt;&gt;""),"UT2","")</f>
        <v/>
      </c>
      <c r="C191" s="148" t="str">
        <f>IF(OR(IFERROR('UT2'!$W$47&gt;=$B$3,FALSE),'UT2'!$AC$47="Forcée",'UT2'!$X$47&lt;&gt;"",'UT2'!$AA$47&lt;&gt;""),'UT2'!$A$47,"")</f>
        <v/>
      </c>
      <c r="D191" s="148" t="str">
        <f>IF(OR(IFERROR('UT2'!$W$47&gt;=$B$3,FALSE),'UT2'!$AC$47="Forcée",'UT2'!$X$47&lt;&gt;"",'UT2'!$AA$47&lt;&gt;""),'UT2'!$B$47,"")</f>
        <v/>
      </c>
      <c r="E191" s="148" t="str">
        <f>IF(OR(IFERROR('UT2'!$W$47&gt;=$B$3,FALSE),'UT2'!$AC$47="Forcée",'UT2'!$X$47&lt;&gt;"",'UT2'!$AA$47&lt;&gt;""),'UT2'!$C$47,"")</f>
        <v/>
      </c>
      <c r="F191" s="148" t="str">
        <f>IF(OR(IFERROR('UT2'!$W$47&gt;=$B$3,FALSE),'UT2'!$AC$47="Forcée",'UT2'!$X$47&lt;&gt;"",'UT2'!$AA$47&lt;&gt;""),'UT2'!$D$47,"")</f>
        <v/>
      </c>
      <c r="G191" s="148" t="str">
        <f>IF(OR(IFERROR('UT2'!$W$47&gt;=$B$3,FALSE),'UT2'!$AC$47="Forcée",'UT2'!$X$47&lt;&gt;"",'UT2'!$AA$47&lt;&gt;""),'UT2'!$E$47,"")</f>
        <v/>
      </c>
      <c r="H191" s="148" t="str">
        <f>IF(OR(IFERROR('UT2'!$W$47&gt;=$B$3,FALSE),'UT2'!$AC$47="Forcée",'UT2'!$X$47&lt;&gt;"",'UT2'!$AA$47&lt;&gt;""),'UT2'!$H$47,"")</f>
        <v/>
      </c>
      <c r="I191" s="148" t="str">
        <f>IF(OR(IFERROR('UT2'!$W$47&gt;=$B$3,FALSE),'UT2'!$AC$47="Forcée",'UT2'!$X$47&lt;&gt;"",'UT2'!$AA$47&lt;&gt;""),'UT2'!$W$47,"")</f>
        <v/>
      </c>
      <c r="J191" s="148" t="str">
        <f t="shared" si="4"/>
        <v/>
      </c>
      <c r="K191" s="148" t="str">
        <f>IF(A191="","",IF('UT2'!$AC$47="Forcée","Forcée",IF('UT2'!$AC$47="Exclue","Exclue","Automatique")))</f>
        <v/>
      </c>
      <c r="L191" s="148" t="str">
        <f>IF(A191="","",IF('UT2'!$AC$47="Exclue","Exclu",IF('UT2'!$W$47&gt;=$B$3,"Actif - risque significatif",IF(AND('UT2'!$W$47&lt;$B$3,'UT2'!$AD$47="Oui"),"Maîtrisé / clôturable","Maîtrisé - à vérifier"))))</f>
        <v/>
      </c>
      <c r="M191" s="148" t="str">
        <f>IF(A191="","",IF('UT2'!$W$47&gt;=16,"P1 - Critique",IF('UT2'!$W$47&gt;=13,"P2 - Haute",IF('UT2'!$W$47&gt;=9,"P3 - Moyenne","P4 - Basse"))))</f>
        <v/>
      </c>
      <c r="N191" s="148"/>
      <c r="O191" s="148" t="str">
        <f>IF(A191="","",'UT2'!$X$47)</f>
        <v/>
      </c>
      <c r="P191" s="148"/>
      <c r="Q191" s="148"/>
      <c r="R191" s="148" t="str">
        <f>IF(A191="","",'UT2'!$Z$47)</f>
        <v/>
      </c>
      <c r="S191" s="148"/>
      <c r="T191" s="148"/>
      <c r="U191" s="149"/>
      <c r="V191" s="150"/>
      <c r="W191" s="150" t="str">
        <f>IF(A191="","",'UT2'!$Y$47)</f>
        <v/>
      </c>
      <c r="X191" s="148"/>
      <c r="Y191" s="148"/>
      <c r="Z191" s="148"/>
      <c r="AA191" s="148"/>
      <c r="AB191" s="148" t="str">
        <f>IF(A191="","",'UT2'!$AA$47)</f>
        <v/>
      </c>
      <c r="AC191" s="148" t="str">
        <f>IF(A191="","",'UT2'!$AD$47)</f>
        <v/>
      </c>
      <c r="AD191" s="150" t="str">
        <f>IF(A191="","",'UT2'!$AE$47)</f>
        <v/>
      </c>
      <c r="AE191" s="148"/>
      <c r="AF191" s="148"/>
      <c r="AG191" s="148" t="str">
        <f>IF(A191="","",'UT2'!$AF$47)</f>
        <v/>
      </c>
      <c r="AH191" s="151" t="str">
        <f t="shared" si="5"/>
        <v/>
      </c>
    </row>
    <row r="192" spans="1:34">
      <c r="A192" s="148" t="str">
        <f>IF(OR(IFERROR('UT2'!$W$48&gt;=$B$3,FALSE),'UT2'!$AC$48="Forcée",'UT2'!$X$48&lt;&gt;"",'UT2'!$AA$48&lt;&gt;""),"UT2-48","")</f>
        <v/>
      </c>
      <c r="B192" s="148" t="str">
        <f>IF(OR(IFERROR('UT2'!$W$48&gt;=$B$3,FALSE),'UT2'!$AC$48="Forcée",'UT2'!$X$48&lt;&gt;"",'UT2'!$AA$48&lt;&gt;""),"UT2","")</f>
        <v/>
      </c>
      <c r="C192" s="148" t="str">
        <f>IF(OR(IFERROR('UT2'!$W$48&gt;=$B$3,FALSE),'UT2'!$AC$48="Forcée",'UT2'!$X$48&lt;&gt;"",'UT2'!$AA$48&lt;&gt;""),'UT2'!$A$48,"")</f>
        <v/>
      </c>
      <c r="D192" s="148" t="str">
        <f>IF(OR(IFERROR('UT2'!$W$48&gt;=$B$3,FALSE),'UT2'!$AC$48="Forcée",'UT2'!$X$48&lt;&gt;"",'UT2'!$AA$48&lt;&gt;""),'UT2'!$B$48,"")</f>
        <v/>
      </c>
      <c r="E192" s="148" t="str">
        <f>IF(OR(IFERROR('UT2'!$W$48&gt;=$B$3,FALSE),'UT2'!$AC$48="Forcée",'UT2'!$X$48&lt;&gt;"",'UT2'!$AA$48&lt;&gt;""),'UT2'!$C$48,"")</f>
        <v/>
      </c>
      <c r="F192" s="148" t="str">
        <f>IF(OR(IFERROR('UT2'!$W$48&gt;=$B$3,FALSE),'UT2'!$AC$48="Forcée",'UT2'!$X$48&lt;&gt;"",'UT2'!$AA$48&lt;&gt;""),'UT2'!$D$48,"")</f>
        <v/>
      </c>
      <c r="G192" s="148" t="str">
        <f>IF(OR(IFERROR('UT2'!$W$48&gt;=$B$3,FALSE),'UT2'!$AC$48="Forcée",'UT2'!$X$48&lt;&gt;"",'UT2'!$AA$48&lt;&gt;""),'UT2'!$E$48,"")</f>
        <v/>
      </c>
      <c r="H192" s="148" t="str">
        <f>IF(OR(IFERROR('UT2'!$W$48&gt;=$B$3,FALSE),'UT2'!$AC$48="Forcée",'UT2'!$X$48&lt;&gt;"",'UT2'!$AA$48&lt;&gt;""),'UT2'!$H$48,"")</f>
        <v/>
      </c>
      <c r="I192" s="148" t="str">
        <f>IF(OR(IFERROR('UT2'!$W$48&gt;=$B$3,FALSE),'UT2'!$AC$48="Forcée",'UT2'!$X$48&lt;&gt;"",'UT2'!$AA$48&lt;&gt;""),'UT2'!$W$48,"")</f>
        <v/>
      </c>
      <c r="J192" s="148" t="str">
        <f t="shared" si="4"/>
        <v/>
      </c>
      <c r="K192" s="148" t="str">
        <f>IF(A192="","",IF('UT2'!$AC$48="Forcée","Forcée",IF('UT2'!$AC$48="Exclue","Exclue","Automatique")))</f>
        <v/>
      </c>
      <c r="L192" s="148" t="str">
        <f>IF(A192="","",IF('UT2'!$AC$48="Exclue","Exclu",IF('UT2'!$W$48&gt;=$B$3,"Actif - risque significatif",IF(AND('UT2'!$W$48&lt;$B$3,'UT2'!$AD$48="Oui"),"Maîtrisé / clôturable","Maîtrisé - à vérifier"))))</f>
        <v/>
      </c>
      <c r="M192" s="148" t="str">
        <f>IF(A192="","",IF('UT2'!$W$48&gt;=16,"P1 - Critique",IF('UT2'!$W$48&gt;=13,"P2 - Haute",IF('UT2'!$W$48&gt;=9,"P3 - Moyenne","P4 - Basse"))))</f>
        <v/>
      </c>
      <c r="N192" s="148"/>
      <c r="O192" s="148" t="str">
        <f>IF(A192="","",'UT2'!$X$48)</f>
        <v/>
      </c>
      <c r="P192" s="148"/>
      <c r="Q192" s="148"/>
      <c r="R192" s="148" t="str">
        <f>IF(A192="","",'UT2'!$Z$48)</f>
        <v/>
      </c>
      <c r="S192" s="148"/>
      <c r="T192" s="148"/>
      <c r="U192" s="149"/>
      <c r="V192" s="150"/>
      <c r="W192" s="150" t="str">
        <f>IF(A192="","",'UT2'!$Y$48)</f>
        <v/>
      </c>
      <c r="X192" s="148"/>
      <c r="Y192" s="148"/>
      <c r="Z192" s="148"/>
      <c r="AA192" s="148"/>
      <c r="AB192" s="148" t="str">
        <f>IF(A192="","",'UT2'!$AA$48)</f>
        <v/>
      </c>
      <c r="AC192" s="148" t="str">
        <f>IF(A192="","",'UT2'!$AD$48)</f>
        <v/>
      </c>
      <c r="AD192" s="150" t="str">
        <f>IF(A192="","",'UT2'!$AE$48)</f>
        <v/>
      </c>
      <c r="AE192" s="148"/>
      <c r="AF192" s="148"/>
      <c r="AG192" s="148" t="str">
        <f>IF(A192="","",'UT2'!$AF$48)</f>
        <v/>
      </c>
      <c r="AH192" s="151" t="str">
        <f t="shared" si="5"/>
        <v/>
      </c>
    </row>
    <row r="193" spans="1:34">
      <c r="A193" s="148" t="str">
        <f>IF(OR(IFERROR('UT2'!$W$49&gt;=$B$3,FALSE),'UT2'!$AC$49="Forcée",'UT2'!$X$49&lt;&gt;"",'UT2'!$AA$49&lt;&gt;""),"UT2-49","")</f>
        <v/>
      </c>
      <c r="B193" s="148" t="str">
        <f>IF(OR(IFERROR('UT2'!$W$49&gt;=$B$3,FALSE),'UT2'!$AC$49="Forcée",'UT2'!$X$49&lt;&gt;"",'UT2'!$AA$49&lt;&gt;""),"UT2","")</f>
        <v/>
      </c>
      <c r="C193" s="148" t="str">
        <f>IF(OR(IFERROR('UT2'!$W$49&gt;=$B$3,FALSE),'UT2'!$AC$49="Forcée",'UT2'!$X$49&lt;&gt;"",'UT2'!$AA$49&lt;&gt;""),'UT2'!$A$49,"")</f>
        <v/>
      </c>
      <c r="D193" s="148" t="str">
        <f>IF(OR(IFERROR('UT2'!$W$49&gt;=$B$3,FALSE),'UT2'!$AC$49="Forcée",'UT2'!$X$49&lt;&gt;"",'UT2'!$AA$49&lt;&gt;""),'UT2'!$B$49,"")</f>
        <v/>
      </c>
      <c r="E193" s="148" t="str">
        <f>IF(OR(IFERROR('UT2'!$W$49&gt;=$B$3,FALSE),'UT2'!$AC$49="Forcée",'UT2'!$X$49&lt;&gt;"",'UT2'!$AA$49&lt;&gt;""),'UT2'!$C$49,"")</f>
        <v/>
      </c>
      <c r="F193" s="148" t="str">
        <f>IF(OR(IFERROR('UT2'!$W$49&gt;=$B$3,FALSE),'UT2'!$AC$49="Forcée",'UT2'!$X$49&lt;&gt;"",'UT2'!$AA$49&lt;&gt;""),'UT2'!$D$49,"")</f>
        <v/>
      </c>
      <c r="G193" s="148" t="str">
        <f>IF(OR(IFERROR('UT2'!$W$49&gt;=$B$3,FALSE),'UT2'!$AC$49="Forcée",'UT2'!$X$49&lt;&gt;"",'UT2'!$AA$49&lt;&gt;""),'UT2'!$E$49,"")</f>
        <v/>
      </c>
      <c r="H193" s="148" t="str">
        <f>IF(OR(IFERROR('UT2'!$W$49&gt;=$B$3,FALSE),'UT2'!$AC$49="Forcée",'UT2'!$X$49&lt;&gt;"",'UT2'!$AA$49&lt;&gt;""),'UT2'!$H$49,"")</f>
        <v/>
      </c>
      <c r="I193" s="148" t="str">
        <f>IF(OR(IFERROR('UT2'!$W$49&gt;=$B$3,FALSE),'UT2'!$AC$49="Forcée",'UT2'!$X$49&lt;&gt;"",'UT2'!$AA$49&lt;&gt;""),'UT2'!$W$49,"")</f>
        <v/>
      </c>
      <c r="J193" s="148" t="str">
        <f t="shared" si="4"/>
        <v/>
      </c>
      <c r="K193" s="148" t="str">
        <f>IF(A193="","",IF('UT2'!$AC$49="Forcée","Forcée",IF('UT2'!$AC$49="Exclue","Exclue","Automatique")))</f>
        <v/>
      </c>
      <c r="L193" s="148" t="str">
        <f>IF(A193="","",IF('UT2'!$AC$49="Exclue","Exclu",IF('UT2'!$W$49&gt;=$B$3,"Actif - risque significatif",IF(AND('UT2'!$W$49&lt;$B$3,'UT2'!$AD$49="Oui"),"Maîtrisé / clôturable","Maîtrisé - à vérifier"))))</f>
        <v/>
      </c>
      <c r="M193" s="148" t="str">
        <f>IF(A193="","",IF('UT2'!$W$49&gt;=16,"P1 - Critique",IF('UT2'!$W$49&gt;=13,"P2 - Haute",IF('UT2'!$W$49&gt;=9,"P3 - Moyenne","P4 - Basse"))))</f>
        <v/>
      </c>
      <c r="N193" s="148"/>
      <c r="O193" s="148" t="str">
        <f>IF(A193="","",'UT2'!$X$49)</f>
        <v/>
      </c>
      <c r="P193" s="148"/>
      <c r="Q193" s="148"/>
      <c r="R193" s="148" t="str">
        <f>IF(A193="","",'UT2'!$Z$49)</f>
        <v/>
      </c>
      <c r="S193" s="148"/>
      <c r="T193" s="148"/>
      <c r="U193" s="149"/>
      <c r="V193" s="150"/>
      <c r="W193" s="150" t="str">
        <f>IF(A193="","",'UT2'!$Y$49)</f>
        <v/>
      </c>
      <c r="X193" s="148"/>
      <c r="Y193" s="148"/>
      <c r="Z193" s="148"/>
      <c r="AA193" s="148"/>
      <c r="AB193" s="148" t="str">
        <f>IF(A193="","",'UT2'!$AA$49)</f>
        <v/>
      </c>
      <c r="AC193" s="148" t="str">
        <f>IF(A193="","",'UT2'!$AD$49)</f>
        <v/>
      </c>
      <c r="AD193" s="150" t="str">
        <f>IF(A193="","",'UT2'!$AE$49)</f>
        <v/>
      </c>
      <c r="AE193" s="148"/>
      <c r="AF193" s="148"/>
      <c r="AG193" s="148" t="str">
        <f>IF(A193="","",'UT2'!$AF$49)</f>
        <v/>
      </c>
      <c r="AH193" s="151" t="str">
        <f t="shared" si="5"/>
        <v/>
      </c>
    </row>
    <row r="194" spans="1:34">
      <c r="A194" s="148" t="str">
        <f>IF(OR(IFERROR('UT2'!$W$50&gt;=$B$3,FALSE),'UT2'!$AC$50="Forcée",'UT2'!$X$50&lt;&gt;"",'UT2'!$AA$50&lt;&gt;""),"UT2-50","")</f>
        <v/>
      </c>
      <c r="B194" s="148" t="str">
        <f>IF(OR(IFERROR('UT2'!$W$50&gt;=$B$3,FALSE),'UT2'!$AC$50="Forcée",'UT2'!$X$50&lt;&gt;"",'UT2'!$AA$50&lt;&gt;""),"UT2","")</f>
        <v/>
      </c>
      <c r="C194" s="148" t="str">
        <f>IF(OR(IFERROR('UT2'!$W$50&gt;=$B$3,FALSE),'UT2'!$AC$50="Forcée",'UT2'!$X$50&lt;&gt;"",'UT2'!$AA$50&lt;&gt;""),'UT2'!$A$50,"")</f>
        <v/>
      </c>
      <c r="D194" s="148" t="str">
        <f>IF(OR(IFERROR('UT2'!$W$50&gt;=$B$3,FALSE),'UT2'!$AC$50="Forcée",'UT2'!$X$50&lt;&gt;"",'UT2'!$AA$50&lt;&gt;""),'UT2'!$B$50,"")</f>
        <v/>
      </c>
      <c r="E194" s="148" t="str">
        <f>IF(OR(IFERROR('UT2'!$W$50&gt;=$B$3,FALSE),'UT2'!$AC$50="Forcée",'UT2'!$X$50&lt;&gt;"",'UT2'!$AA$50&lt;&gt;""),'UT2'!$C$50,"")</f>
        <v/>
      </c>
      <c r="F194" s="148" t="str">
        <f>IF(OR(IFERROR('UT2'!$W$50&gt;=$B$3,FALSE),'UT2'!$AC$50="Forcée",'UT2'!$X$50&lt;&gt;"",'UT2'!$AA$50&lt;&gt;""),'UT2'!$D$50,"")</f>
        <v/>
      </c>
      <c r="G194" s="148" t="str">
        <f>IF(OR(IFERROR('UT2'!$W$50&gt;=$B$3,FALSE),'UT2'!$AC$50="Forcée",'UT2'!$X$50&lt;&gt;"",'UT2'!$AA$50&lt;&gt;""),'UT2'!$E$50,"")</f>
        <v/>
      </c>
      <c r="H194" s="148" t="str">
        <f>IF(OR(IFERROR('UT2'!$W$50&gt;=$B$3,FALSE),'UT2'!$AC$50="Forcée",'UT2'!$X$50&lt;&gt;"",'UT2'!$AA$50&lt;&gt;""),'UT2'!$H$50,"")</f>
        <v/>
      </c>
      <c r="I194" s="148" t="str">
        <f>IF(OR(IFERROR('UT2'!$W$50&gt;=$B$3,FALSE),'UT2'!$AC$50="Forcée",'UT2'!$X$50&lt;&gt;"",'UT2'!$AA$50&lt;&gt;""),'UT2'!$W$50,"")</f>
        <v/>
      </c>
      <c r="J194" s="148" t="str">
        <f t="shared" si="4"/>
        <v/>
      </c>
      <c r="K194" s="148" t="str">
        <f>IF(A194="","",IF('UT2'!$AC$50="Forcée","Forcée",IF('UT2'!$AC$50="Exclue","Exclue","Automatique")))</f>
        <v/>
      </c>
      <c r="L194" s="148" t="str">
        <f>IF(A194="","",IF('UT2'!$AC$50="Exclue","Exclu",IF('UT2'!$W$50&gt;=$B$3,"Actif - risque significatif",IF(AND('UT2'!$W$50&lt;$B$3,'UT2'!$AD$50="Oui"),"Maîtrisé / clôturable","Maîtrisé - à vérifier"))))</f>
        <v/>
      </c>
      <c r="M194" s="148" t="str">
        <f>IF(A194="","",IF('UT2'!$W$50&gt;=16,"P1 - Critique",IF('UT2'!$W$50&gt;=13,"P2 - Haute",IF('UT2'!$W$50&gt;=9,"P3 - Moyenne","P4 - Basse"))))</f>
        <v/>
      </c>
      <c r="N194" s="148"/>
      <c r="O194" s="148" t="str">
        <f>IF(A194="","",'UT2'!$X$50)</f>
        <v/>
      </c>
      <c r="P194" s="148"/>
      <c r="Q194" s="148"/>
      <c r="R194" s="148" t="str">
        <f>IF(A194="","",'UT2'!$Z$50)</f>
        <v/>
      </c>
      <c r="S194" s="148"/>
      <c r="T194" s="148"/>
      <c r="U194" s="149"/>
      <c r="V194" s="150"/>
      <c r="W194" s="150" t="str">
        <f>IF(A194="","",'UT2'!$Y$50)</f>
        <v/>
      </c>
      <c r="X194" s="148"/>
      <c r="Y194" s="148"/>
      <c r="Z194" s="148"/>
      <c r="AA194" s="148"/>
      <c r="AB194" s="148" t="str">
        <f>IF(A194="","",'UT2'!$AA$50)</f>
        <v/>
      </c>
      <c r="AC194" s="148" t="str">
        <f>IF(A194="","",'UT2'!$AD$50)</f>
        <v/>
      </c>
      <c r="AD194" s="150" t="str">
        <f>IF(A194="","",'UT2'!$AE$50)</f>
        <v/>
      </c>
      <c r="AE194" s="148"/>
      <c r="AF194" s="148"/>
      <c r="AG194" s="148" t="str">
        <f>IF(A194="","",'UT2'!$AF$50)</f>
        <v/>
      </c>
      <c r="AH194" s="151" t="str">
        <f t="shared" si="5"/>
        <v/>
      </c>
    </row>
    <row r="195" spans="1:34">
      <c r="A195" s="148" t="str">
        <f>IF(OR(IFERROR('UT2'!$W$51&gt;=$B$3,FALSE),'UT2'!$AC$51="Forcée",'UT2'!$X$51&lt;&gt;"",'UT2'!$AA$51&lt;&gt;""),"UT2-51","")</f>
        <v/>
      </c>
      <c r="B195" s="148" t="str">
        <f>IF(OR(IFERROR('UT2'!$W$51&gt;=$B$3,FALSE),'UT2'!$AC$51="Forcée",'UT2'!$X$51&lt;&gt;"",'UT2'!$AA$51&lt;&gt;""),"UT2","")</f>
        <v/>
      </c>
      <c r="C195" s="148" t="str">
        <f>IF(OR(IFERROR('UT2'!$W$51&gt;=$B$3,FALSE),'UT2'!$AC$51="Forcée",'UT2'!$X$51&lt;&gt;"",'UT2'!$AA$51&lt;&gt;""),'UT2'!$A$51,"")</f>
        <v/>
      </c>
      <c r="D195" s="148" t="str">
        <f>IF(OR(IFERROR('UT2'!$W$51&gt;=$B$3,FALSE),'UT2'!$AC$51="Forcée",'UT2'!$X$51&lt;&gt;"",'UT2'!$AA$51&lt;&gt;""),'UT2'!$B$51,"")</f>
        <v/>
      </c>
      <c r="E195" s="148" t="str">
        <f>IF(OR(IFERROR('UT2'!$W$51&gt;=$B$3,FALSE),'UT2'!$AC$51="Forcée",'UT2'!$X$51&lt;&gt;"",'UT2'!$AA$51&lt;&gt;""),'UT2'!$C$51,"")</f>
        <v/>
      </c>
      <c r="F195" s="148" t="str">
        <f>IF(OR(IFERROR('UT2'!$W$51&gt;=$B$3,FALSE),'UT2'!$AC$51="Forcée",'UT2'!$X$51&lt;&gt;"",'UT2'!$AA$51&lt;&gt;""),'UT2'!$D$51,"")</f>
        <v/>
      </c>
      <c r="G195" s="148" t="str">
        <f>IF(OR(IFERROR('UT2'!$W$51&gt;=$B$3,FALSE),'UT2'!$AC$51="Forcée",'UT2'!$X$51&lt;&gt;"",'UT2'!$AA$51&lt;&gt;""),'UT2'!$E$51,"")</f>
        <v/>
      </c>
      <c r="H195" s="148" t="str">
        <f>IF(OR(IFERROR('UT2'!$W$51&gt;=$B$3,FALSE),'UT2'!$AC$51="Forcée",'UT2'!$X$51&lt;&gt;"",'UT2'!$AA$51&lt;&gt;""),'UT2'!$H$51,"")</f>
        <v/>
      </c>
      <c r="I195" s="148" t="str">
        <f>IF(OR(IFERROR('UT2'!$W$51&gt;=$B$3,FALSE),'UT2'!$AC$51="Forcée",'UT2'!$X$51&lt;&gt;"",'UT2'!$AA$51&lt;&gt;""),'UT2'!$W$51,"")</f>
        <v/>
      </c>
      <c r="J195" s="148" t="str">
        <f t="shared" si="4"/>
        <v/>
      </c>
      <c r="K195" s="148" t="str">
        <f>IF(A195="","",IF('UT2'!$AC$51="Forcée","Forcée",IF('UT2'!$AC$51="Exclue","Exclue","Automatique")))</f>
        <v/>
      </c>
      <c r="L195" s="148" t="str">
        <f>IF(A195="","",IF('UT2'!$AC$51="Exclue","Exclu",IF('UT2'!$W$51&gt;=$B$3,"Actif - risque significatif",IF(AND('UT2'!$W$51&lt;$B$3,'UT2'!$AD$51="Oui"),"Maîtrisé / clôturable","Maîtrisé - à vérifier"))))</f>
        <v/>
      </c>
      <c r="M195" s="148" t="str">
        <f>IF(A195="","",IF('UT2'!$W$51&gt;=16,"P1 - Critique",IF('UT2'!$W$51&gt;=13,"P2 - Haute",IF('UT2'!$W$51&gt;=9,"P3 - Moyenne","P4 - Basse"))))</f>
        <v/>
      </c>
      <c r="N195" s="148"/>
      <c r="O195" s="148" t="str">
        <f>IF(A195="","",'UT2'!$X$51)</f>
        <v/>
      </c>
      <c r="P195" s="148"/>
      <c r="Q195" s="148"/>
      <c r="R195" s="148" t="str">
        <f>IF(A195="","",'UT2'!$Z$51)</f>
        <v/>
      </c>
      <c r="S195" s="148"/>
      <c r="T195" s="148"/>
      <c r="U195" s="149"/>
      <c r="V195" s="150"/>
      <c r="W195" s="150" t="str">
        <f>IF(A195="","",'UT2'!$Y$51)</f>
        <v/>
      </c>
      <c r="X195" s="148"/>
      <c r="Y195" s="148"/>
      <c r="Z195" s="148"/>
      <c r="AA195" s="148"/>
      <c r="AB195" s="148" t="str">
        <f>IF(A195="","",'UT2'!$AA$51)</f>
        <v/>
      </c>
      <c r="AC195" s="148" t="str">
        <f>IF(A195="","",'UT2'!$AD$51)</f>
        <v/>
      </c>
      <c r="AD195" s="150" t="str">
        <f>IF(A195="","",'UT2'!$AE$51)</f>
        <v/>
      </c>
      <c r="AE195" s="148"/>
      <c r="AF195" s="148"/>
      <c r="AG195" s="148" t="str">
        <f>IF(A195="","",'UT2'!$AF$51)</f>
        <v/>
      </c>
      <c r="AH195" s="151" t="str">
        <f t="shared" si="5"/>
        <v/>
      </c>
    </row>
    <row r="196" spans="1:34">
      <c r="A196" s="148" t="str">
        <f>IF(OR(IFERROR('UT2'!$W$52&gt;=$B$3,FALSE),'UT2'!$AC$52="Forcée",'UT2'!$X$52&lt;&gt;"",'UT2'!$AA$52&lt;&gt;""),"UT2-52","")</f>
        <v/>
      </c>
      <c r="B196" s="148" t="str">
        <f>IF(OR(IFERROR('UT2'!$W$52&gt;=$B$3,FALSE),'UT2'!$AC$52="Forcée",'UT2'!$X$52&lt;&gt;"",'UT2'!$AA$52&lt;&gt;""),"UT2","")</f>
        <v/>
      </c>
      <c r="C196" s="148" t="str">
        <f>IF(OR(IFERROR('UT2'!$W$52&gt;=$B$3,FALSE),'UT2'!$AC$52="Forcée",'UT2'!$X$52&lt;&gt;"",'UT2'!$AA$52&lt;&gt;""),'UT2'!$A$52,"")</f>
        <v/>
      </c>
      <c r="D196" s="148" t="str">
        <f>IF(OR(IFERROR('UT2'!$W$52&gt;=$B$3,FALSE),'UT2'!$AC$52="Forcée",'UT2'!$X$52&lt;&gt;"",'UT2'!$AA$52&lt;&gt;""),'UT2'!$B$52,"")</f>
        <v/>
      </c>
      <c r="E196" s="148" t="str">
        <f>IF(OR(IFERROR('UT2'!$W$52&gt;=$B$3,FALSE),'UT2'!$AC$52="Forcée",'UT2'!$X$52&lt;&gt;"",'UT2'!$AA$52&lt;&gt;""),'UT2'!$C$52,"")</f>
        <v/>
      </c>
      <c r="F196" s="148" t="str">
        <f>IF(OR(IFERROR('UT2'!$W$52&gt;=$B$3,FALSE),'UT2'!$AC$52="Forcée",'UT2'!$X$52&lt;&gt;"",'UT2'!$AA$52&lt;&gt;""),'UT2'!$D$52,"")</f>
        <v/>
      </c>
      <c r="G196" s="148" t="str">
        <f>IF(OR(IFERROR('UT2'!$W$52&gt;=$B$3,FALSE),'UT2'!$AC$52="Forcée",'UT2'!$X$52&lt;&gt;"",'UT2'!$AA$52&lt;&gt;""),'UT2'!$E$52,"")</f>
        <v/>
      </c>
      <c r="H196" s="148" t="str">
        <f>IF(OR(IFERROR('UT2'!$W$52&gt;=$B$3,FALSE),'UT2'!$AC$52="Forcée",'UT2'!$X$52&lt;&gt;"",'UT2'!$AA$52&lt;&gt;""),'UT2'!$H$52,"")</f>
        <v/>
      </c>
      <c r="I196" s="148" t="str">
        <f>IF(OR(IFERROR('UT2'!$W$52&gt;=$B$3,FALSE),'UT2'!$AC$52="Forcée",'UT2'!$X$52&lt;&gt;"",'UT2'!$AA$52&lt;&gt;""),'UT2'!$W$52,"")</f>
        <v/>
      </c>
      <c r="J196" s="148" t="str">
        <f t="shared" si="4"/>
        <v/>
      </c>
      <c r="K196" s="148" t="str">
        <f>IF(A196="","",IF('UT2'!$AC$52="Forcée","Forcée",IF('UT2'!$AC$52="Exclue","Exclue","Automatique")))</f>
        <v/>
      </c>
      <c r="L196" s="148" t="str">
        <f>IF(A196="","",IF('UT2'!$AC$52="Exclue","Exclu",IF('UT2'!$W$52&gt;=$B$3,"Actif - risque significatif",IF(AND('UT2'!$W$52&lt;$B$3,'UT2'!$AD$52="Oui"),"Maîtrisé / clôturable","Maîtrisé - à vérifier"))))</f>
        <v/>
      </c>
      <c r="M196" s="148" t="str">
        <f>IF(A196="","",IF('UT2'!$W$52&gt;=16,"P1 - Critique",IF('UT2'!$W$52&gt;=13,"P2 - Haute",IF('UT2'!$W$52&gt;=9,"P3 - Moyenne","P4 - Basse"))))</f>
        <v/>
      </c>
      <c r="N196" s="148"/>
      <c r="O196" s="148" t="str">
        <f>IF(A196="","",'UT2'!$X$52)</f>
        <v/>
      </c>
      <c r="P196" s="148"/>
      <c r="Q196" s="148"/>
      <c r="R196" s="148" t="str">
        <f>IF(A196="","",'UT2'!$Z$52)</f>
        <v/>
      </c>
      <c r="S196" s="148"/>
      <c r="T196" s="148"/>
      <c r="U196" s="149"/>
      <c r="V196" s="150"/>
      <c r="W196" s="150" t="str">
        <f>IF(A196="","",'UT2'!$Y$52)</f>
        <v/>
      </c>
      <c r="X196" s="148"/>
      <c r="Y196" s="148"/>
      <c r="Z196" s="148"/>
      <c r="AA196" s="148"/>
      <c r="AB196" s="148" t="str">
        <f>IF(A196="","",'UT2'!$AA$52)</f>
        <v/>
      </c>
      <c r="AC196" s="148" t="str">
        <f>IF(A196="","",'UT2'!$AD$52)</f>
        <v/>
      </c>
      <c r="AD196" s="150" t="str">
        <f>IF(A196="","",'UT2'!$AE$52)</f>
        <v/>
      </c>
      <c r="AE196" s="148"/>
      <c r="AF196" s="148"/>
      <c r="AG196" s="148" t="str">
        <f>IF(A196="","",'UT2'!$AF$52)</f>
        <v/>
      </c>
      <c r="AH196" s="151" t="str">
        <f t="shared" si="5"/>
        <v/>
      </c>
    </row>
    <row r="197" spans="1:34">
      <c r="A197" s="148" t="str">
        <f>IF(OR(IFERROR('UT2'!$W$53&gt;=$B$3,FALSE),'UT2'!$AC$53="Forcée",'UT2'!$X$53&lt;&gt;"",'UT2'!$AA$53&lt;&gt;""),"UT2-53","")</f>
        <v/>
      </c>
      <c r="B197" s="148" t="str">
        <f>IF(OR(IFERROR('UT2'!$W$53&gt;=$B$3,FALSE),'UT2'!$AC$53="Forcée",'UT2'!$X$53&lt;&gt;"",'UT2'!$AA$53&lt;&gt;""),"UT2","")</f>
        <v/>
      </c>
      <c r="C197" s="148" t="str">
        <f>IF(OR(IFERROR('UT2'!$W$53&gt;=$B$3,FALSE),'UT2'!$AC$53="Forcée",'UT2'!$X$53&lt;&gt;"",'UT2'!$AA$53&lt;&gt;""),'UT2'!$A$53,"")</f>
        <v/>
      </c>
      <c r="D197" s="148" t="str">
        <f>IF(OR(IFERROR('UT2'!$W$53&gt;=$B$3,FALSE),'UT2'!$AC$53="Forcée",'UT2'!$X$53&lt;&gt;"",'UT2'!$AA$53&lt;&gt;""),'UT2'!$B$53,"")</f>
        <v/>
      </c>
      <c r="E197" s="148" t="str">
        <f>IF(OR(IFERROR('UT2'!$W$53&gt;=$B$3,FALSE),'UT2'!$AC$53="Forcée",'UT2'!$X$53&lt;&gt;"",'UT2'!$AA$53&lt;&gt;""),'UT2'!$C$53,"")</f>
        <v/>
      </c>
      <c r="F197" s="148" t="str">
        <f>IF(OR(IFERROR('UT2'!$W$53&gt;=$B$3,FALSE),'UT2'!$AC$53="Forcée",'UT2'!$X$53&lt;&gt;"",'UT2'!$AA$53&lt;&gt;""),'UT2'!$D$53,"")</f>
        <v/>
      </c>
      <c r="G197" s="148" t="str">
        <f>IF(OR(IFERROR('UT2'!$W$53&gt;=$B$3,FALSE),'UT2'!$AC$53="Forcée",'UT2'!$X$53&lt;&gt;"",'UT2'!$AA$53&lt;&gt;""),'UT2'!$E$53,"")</f>
        <v/>
      </c>
      <c r="H197" s="148" t="str">
        <f>IF(OR(IFERROR('UT2'!$W$53&gt;=$B$3,FALSE),'UT2'!$AC$53="Forcée",'UT2'!$X$53&lt;&gt;"",'UT2'!$AA$53&lt;&gt;""),'UT2'!$H$53,"")</f>
        <v/>
      </c>
      <c r="I197" s="148" t="str">
        <f>IF(OR(IFERROR('UT2'!$W$53&gt;=$B$3,FALSE),'UT2'!$AC$53="Forcée",'UT2'!$X$53&lt;&gt;"",'UT2'!$AA$53&lt;&gt;""),'UT2'!$W$53,"")</f>
        <v/>
      </c>
      <c r="J197" s="148" t="str">
        <f t="shared" si="4"/>
        <v/>
      </c>
      <c r="K197" s="148" t="str">
        <f>IF(A197="","",IF('UT2'!$AC$53="Forcée","Forcée",IF('UT2'!$AC$53="Exclue","Exclue","Automatique")))</f>
        <v/>
      </c>
      <c r="L197" s="148" t="str">
        <f>IF(A197="","",IF('UT2'!$AC$53="Exclue","Exclu",IF('UT2'!$W$53&gt;=$B$3,"Actif - risque significatif",IF(AND('UT2'!$W$53&lt;$B$3,'UT2'!$AD$53="Oui"),"Maîtrisé / clôturable","Maîtrisé - à vérifier"))))</f>
        <v/>
      </c>
      <c r="M197" s="148" t="str">
        <f>IF(A197="","",IF('UT2'!$W$53&gt;=16,"P1 - Critique",IF('UT2'!$W$53&gt;=13,"P2 - Haute",IF('UT2'!$W$53&gt;=9,"P3 - Moyenne","P4 - Basse"))))</f>
        <v/>
      </c>
      <c r="N197" s="148"/>
      <c r="O197" s="148" t="str">
        <f>IF(A197="","",'UT2'!$X$53)</f>
        <v/>
      </c>
      <c r="P197" s="148"/>
      <c r="Q197" s="148"/>
      <c r="R197" s="148" t="str">
        <f>IF(A197="","",'UT2'!$Z$53)</f>
        <v/>
      </c>
      <c r="S197" s="148"/>
      <c r="T197" s="148"/>
      <c r="U197" s="149"/>
      <c r="V197" s="150"/>
      <c r="W197" s="150" t="str">
        <f>IF(A197="","",'UT2'!$Y$53)</f>
        <v/>
      </c>
      <c r="X197" s="148"/>
      <c r="Y197" s="148"/>
      <c r="Z197" s="148"/>
      <c r="AA197" s="148"/>
      <c r="AB197" s="148" t="str">
        <f>IF(A197="","",'UT2'!$AA$53)</f>
        <v/>
      </c>
      <c r="AC197" s="148" t="str">
        <f>IF(A197="","",'UT2'!$AD$53)</f>
        <v/>
      </c>
      <c r="AD197" s="150" t="str">
        <f>IF(A197="","",'UT2'!$AE$53)</f>
        <v/>
      </c>
      <c r="AE197" s="148"/>
      <c r="AF197" s="148"/>
      <c r="AG197" s="148" t="str">
        <f>IF(A197="","",'UT2'!$AF$53)</f>
        <v/>
      </c>
      <c r="AH197" s="151" t="str">
        <f t="shared" si="5"/>
        <v/>
      </c>
    </row>
    <row r="198" spans="1:34">
      <c r="A198" s="148" t="str">
        <f>IF(OR(IFERROR('UT2'!$W$54&gt;=$B$3,FALSE),'UT2'!$AC$54="Forcée",'UT2'!$X$54&lt;&gt;"",'UT2'!$AA$54&lt;&gt;""),"UT2-54","")</f>
        <v/>
      </c>
      <c r="B198" s="148" t="str">
        <f>IF(OR(IFERROR('UT2'!$W$54&gt;=$B$3,FALSE),'UT2'!$AC$54="Forcée",'UT2'!$X$54&lt;&gt;"",'UT2'!$AA$54&lt;&gt;""),"UT2","")</f>
        <v/>
      </c>
      <c r="C198" s="148" t="str">
        <f>IF(OR(IFERROR('UT2'!$W$54&gt;=$B$3,FALSE),'UT2'!$AC$54="Forcée",'UT2'!$X$54&lt;&gt;"",'UT2'!$AA$54&lt;&gt;""),'UT2'!$A$54,"")</f>
        <v/>
      </c>
      <c r="D198" s="148" t="str">
        <f>IF(OR(IFERROR('UT2'!$W$54&gt;=$B$3,FALSE),'UT2'!$AC$54="Forcée",'UT2'!$X$54&lt;&gt;"",'UT2'!$AA$54&lt;&gt;""),'UT2'!$B$54,"")</f>
        <v/>
      </c>
      <c r="E198" s="148" t="str">
        <f>IF(OR(IFERROR('UT2'!$W$54&gt;=$B$3,FALSE),'UT2'!$AC$54="Forcée",'UT2'!$X$54&lt;&gt;"",'UT2'!$AA$54&lt;&gt;""),'UT2'!$C$54,"")</f>
        <v/>
      </c>
      <c r="F198" s="148" t="str">
        <f>IF(OR(IFERROR('UT2'!$W$54&gt;=$B$3,FALSE),'UT2'!$AC$54="Forcée",'UT2'!$X$54&lt;&gt;"",'UT2'!$AA$54&lt;&gt;""),'UT2'!$D$54,"")</f>
        <v/>
      </c>
      <c r="G198" s="148" t="str">
        <f>IF(OR(IFERROR('UT2'!$W$54&gt;=$B$3,FALSE),'UT2'!$AC$54="Forcée",'UT2'!$X$54&lt;&gt;"",'UT2'!$AA$54&lt;&gt;""),'UT2'!$E$54,"")</f>
        <v/>
      </c>
      <c r="H198" s="148" t="str">
        <f>IF(OR(IFERROR('UT2'!$W$54&gt;=$B$3,FALSE),'UT2'!$AC$54="Forcée",'UT2'!$X$54&lt;&gt;"",'UT2'!$AA$54&lt;&gt;""),'UT2'!$H$54,"")</f>
        <v/>
      </c>
      <c r="I198" s="148" t="str">
        <f>IF(OR(IFERROR('UT2'!$W$54&gt;=$B$3,FALSE),'UT2'!$AC$54="Forcée",'UT2'!$X$54&lt;&gt;"",'UT2'!$AA$54&lt;&gt;""),'UT2'!$W$54,"")</f>
        <v/>
      </c>
      <c r="J198" s="148" t="str">
        <f t="shared" ref="J198:J221" si="6">IF(A198="","",$B$3)</f>
        <v/>
      </c>
      <c r="K198" s="148" t="str">
        <f>IF(A198="","",IF('UT2'!$AC$54="Forcée","Forcée",IF('UT2'!$AC$54="Exclue","Exclue","Automatique")))</f>
        <v/>
      </c>
      <c r="L198" s="148" t="str">
        <f>IF(A198="","",IF('UT2'!$AC$54="Exclue","Exclu",IF('UT2'!$W$54&gt;=$B$3,"Actif - risque significatif",IF(AND('UT2'!$W$54&lt;$B$3,'UT2'!$AD$54="Oui"),"Maîtrisé / clôturable","Maîtrisé - à vérifier"))))</f>
        <v/>
      </c>
      <c r="M198" s="148" t="str">
        <f>IF(A198="","",IF('UT2'!$W$54&gt;=16,"P1 - Critique",IF('UT2'!$W$54&gt;=13,"P2 - Haute",IF('UT2'!$W$54&gt;=9,"P3 - Moyenne","P4 - Basse"))))</f>
        <v/>
      </c>
      <c r="N198" s="148"/>
      <c r="O198" s="148" t="str">
        <f>IF(A198="","",'UT2'!$X$54)</f>
        <v/>
      </c>
      <c r="P198" s="148"/>
      <c r="Q198" s="148"/>
      <c r="R198" s="148" t="str">
        <f>IF(A198="","",'UT2'!$Z$54)</f>
        <v/>
      </c>
      <c r="S198" s="148"/>
      <c r="T198" s="148"/>
      <c r="U198" s="149"/>
      <c r="V198" s="150"/>
      <c r="W198" s="150" t="str">
        <f>IF(A198="","",'UT2'!$Y$54)</f>
        <v/>
      </c>
      <c r="X198" s="148"/>
      <c r="Y198" s="148"/>
      <c r="Z198" s="148"/>
      <c r="AA198" s="148"/>
      <c r="AB198" s="148" t="str">
        <f>IF(A198="","",'UT2'!$AA$54)</f>
        <v/>
      </c>
      <c r="AC198" s="148" t="str">
        <f>IF(A198="","",'UT2'!$AD$54)</f>
        <v/>
      </c>
      <c r="AD198" s="150" t="str">
        <f>IF(A198="","",'UT2'!$AE$54)</f>
        <v/>
      </c>
      <c r="AE198" s="148"/>
      <c r="AF198" s="148"/>
      <c r="AG198" s="148" t="str">
        <f>IF(A198="","",'UT2'!$AF$54)</f>
        <v/>
      </c>
      <c r="AH198" s="151" t="str">
        <f t="shared" ref="AH198:AH221" si="7">IF(A198="","",IFERROR((H198-I198)/H198,0))</f>
        <v/>
      </c>
    </row>
    <row r="199" spans="1:34">
      <c r="A199" s="148" t="str">
        <f>IF(OR(IFERROR('UT2'!$W$55&gt;=$B$3,FALSE),'UT2'!$AC$55="Forcée",'UT2'!$X$55&lt;&gt;"",'UT2'!$AA$55&lt;&gt;""),"UT2-55","")</f>
        <v/>
      </c>
      <c r="B199" s="148" t="str">
        <f>IF(OR(IFERROR('UT2'!$W$55&gt;=$B$3,FALSE),'UT2'!$AC$55="Forcée",'UT2'!$X$55&lt;&gt;"",'UT2'!$AA$55&lt;&gt;""),"UT2","")</f>
        <v/>
      </c>
      <c r="C199" s="148" t="str">
        <f>IF(OR(IFERROR('UT2'!$W$55&gt;=$B$3,FALSE),'UT2'!$AC$55="Forcée",'UT2'!$X$55&lt;&gt;"",'UT2'!$AA$55&lt;&gt;""),'UT2'!$A$55,"")</f>
        <v/>
      </c>
      <c r="D199" s="148" t="str">
        <f>IF(OR(IFERROR('UT2'!$W$55&gt;=$B$3,FALSE),'UT2'!$AC$55="Forcée",'UT2'!$X$55&lt;&gt;"",'UT2'!$AA$55&lt;&gt;""),'UT2'!$B$55,"")</f>
        <v/>
      </c>
      <c r="E199" s="148" t="str">
        <f>IF(OR(IFERROR('UT2'!$W$55&gt;=$B$3,FALSE),'UT2'!$AC$55="Forcée",'UT2'!$X$55&lt;&gt;"",'UT2'!$AA$55&lt;&gt;""),'UT2'!$C$55,"")</f>
        <v/>
      </c>
      <c r="F199" s="148" t="str">
        <f>IF(OR(IFERROR('UT2'!$W$55&gt;=$B$3,FALSE),'UT2'!$AC$55="Forcée",'UT2'!$X$55&lt;&gt;"",'UT2'!$AA$55&lt;&gt;""),'UT2'!$D$55,"")</f>
        <v/>
      </c>
      <c r="G199" s="148" t="str">
        <f>IF(OR(IFERROR('UT2'!$W$55&gt;=$B$3,FALSE),'UT2'!$AC$55="Forcée",'UT2'!$X$55&lt;&gt;"",'UT2'!$AA$55&lt;&gt;""),'UT2'!$E$55,"")</f>
        <v/>
      </c>
      <c r="H199" s="148" t="str">
        <f>IF(OR(IFERROR('UT2'!$W$55&gt;=$B$3,FALSE),'UT2'!$AC$55="Forcée",'UT2'!$X$55&lt;&gt;"",'UT2'!$AA$55&lt;&gt;""),'UT2'!$H$55,"")</f>
        <v/>
      </c>
      <c r="I199" s="148" t="str">
        <f>IF(OR(IFERROR('UT2'!$W$55&gt;=$B$3,FALSE),'UT2'!$AC$55="Forcée",'UT2'!$X$55&lt;&gt;"",'UT2'!$AA$55&lt;&gt;""),'UT2'!$W$55,"")</f>
        <v/>
      </c>
      <c r="J199" s="148" t="str">
        <f t="shared" si="6"/>
        <v/>
      </c>
      <c r="K199" s="148" t="str">
        <f>IF(A199="","",IF('UT2'!$AC$55="Forcée","Forcée",IF('UT2'!$AC$55="Exclue","Exclue","Automatique")))</f>
        <v/>
      </c>
      <c r="L199" s="148" t="str">
        <f>IF(A199="","",IF('UT2'!$AC$55="Exclue","Exclu",IF('UT2'!$W$55&gt;=$B$3,"Actif - risque significatif",IF(AND('UT2'!$W$55&lt;$B$3,'UT2'!$AD$55="Oui"),"Maîtrisé / clôturable","Maîtrisé - à vérifier"))))</f>
        <v/>
      </c>
      <c r="M199" s="148" t="str">
        <f>IF(A199="","",IF('UT2'!$W$55&gt;=16,"P1 - Critique",IF('UT2'!$W$55&gt;=13,"P2 - Haute",IF('UT2'!$W$55&gt;=9,"P3 - Moyenne","P4 - Basse"))))</f>
        <v/>
      </c>
      <c r="N199" s="148"/>
      <c r="O199" s="148" t="str">
        <f>IF(A199="","",'UT2'!$X$55)</f>
        <v/>
      </c>
      <c r="P199" s="148"/>
      <c r="Q199" s="148"/>
      <c r="R199" s="148" t="str">
        <f>IF(A199="","",'UT2'!$Z$55)</f>
        <v/>
      </c>
      <c r="S199" s="148"/>
      <c r="T199" s="148"/>
      <c r="U199" s="149"/>
      <c r="V199" s="150"/>
      <c r="W199" s="150" t="str">
        <f>IF(A199="","",'UT2'!$Y$55)</f>
        <v/>
      </c>
      <c r="X199" s="148"/>
      <c r="Y199" s="148"/>
      <c r="Z199" s="148"/>
      <c r="AA199" s="148"/>
      <c r="AB199" s="148" t="str">
        <f>IF(A199="","",'UT2'!$AA$55)</f>
        <v/>
      </c>
      <c r="AC199" s="148" t="str">
        <f>IF(A199="","",'UT2'!$AD$55)</f>
        <v/>
      </c>
      <c r="AD199" s="150" t="str">
        <f>IF(A199="","",'UT2'!$AE$55)</f>
        <v/>
      </c>
      <c r="AE199" s="148"/>
      <c r="AF199" s="148"/>
      <c r="AG199" s="148" t="str">
        <f>IF(A199="","",'UT2'!$AF$55)</f>
        <v/>
      </c>
      <c r="AH199" s="151" t="str">
        <f t="shared" si="7"/>
        <v/>
      </c>
    </row>
    <row r="200" spans="1:34">
      <c r="A200" s="148" t="str">
        <f>IF(OR(IFERROR('UT2'!$W$56&gt;=$B$3,FALSE),'UT2'!$AC$56="Forcée",'UT2'!$X$56&lt;&gt;"",'UT2'!$AA$56&lt;&gt;""),"UT2-56","")</f>
        <v/>
      </c>
      <c r="B200" s="148" t="str">
        <f>IF(OR(IFERROR('UT2'!$W$56&gt;=$B$3,FALSE),'UT2'!$AC$56="Forcée",'UT2'!$X$56&lt;&gt;"",'UT2'!$AA$56&lt;&gt;""),"UT2","")</f>
        <v/>
      </c>
      <c r="C200" s="148" t="str">
        <f>IF(OR(IFERROR('UT2'!$W$56&gt;=$B$3,FALSE),'UT2'!$AC$56="Forcée",'UT2'!$X$56&lt;&gt;"",'UT2'!$AA$56&lt;&gt;""),'UT2'!$A$56,"")</f>
        <v/>
      </c>
      <c r="D200" s="148" t="str">
        <f>IF(OR(IFERROR('UT2'!$W$56&gt;=$B$3,FALSE),'UT2'!$AC$56="Forcée",'UT2'!$X$56&lt;&gt;"",'UT2'!$AA$56&lt;&gt;""),'UT2'!$B$56,"")</f>
        <v/>
      </c>
      <c r="E200" s="148" t="str">
        <f>IF(OR(IFERROR('UT2'!$W$56&gt;=$B$3,FALSE),'UT2'!$AC$56="Forcée",'UT2'!$X$56&lt;&gt;"",'UT2'!$AA$56&lt;&gt;""),'UT2'!$C$56,"")</f>
        <v/>
      </c>
      <c r="F200" s="148" t="str">
        <f>IF(OR(IFERROR('UT2'!$W$56&gt;=$B$3,FALSE),'UT2'!$AC$56="Forcée",'UT2'!$X$56&lt;&gt;"",'UT2'!$AA$56&lt;&gt;""),'UT2'!$D$56,"")</f>
        <v/>
      </c>
      <c r="G200" s="148" t="str">
        <f>IF(OR(IFERROR('UT2'!$W$56&gt;=$B$3,FALSE),'UT2'!$AC$56="Forcée",'UT2'!$X$56&lt;&gt;"",'UT2'!$AA$56&lt;&gt;""),'UT2'!$E$56,"")</f>
        <v/>
      </c>
      <c r="H200" s="148" t="str">
        <f>IF(OR(IFERROR('UT2'!$W$56&gt;=$B$3,FALSE),'UT2'!$AC$56="Forcée",'UT2'!$X$56&lt;&gt;"",'UT2'!$AA$56&lt;&gt;""),'UT2'!$H$56,"")</f>
        <v/>
      </c>
      <c r="I200" s="148" t="str">
        <f>IF(OR(IFERROR('UT2'!$W$56&gt;=$B$3,FALSE),'UT2'!$AC$56="Forcée",'UT2'!$X$56&lt;&gt;"",'UT2'!$AA$56&lt;&gt;""),'UT2'!$W$56,"")</f>
        <v/>
      </c>
      <c r="J200" s="148" t="str">
        <f t="shared" si="6"/>
        <v/>
      </c>
      <c r="K200" s="148" t="str">
        <f>IF(A200="","",IF('UT2'!$AC$56="Forcée","Forcée",IF('UT2'!$AC$56="Exclue","Exclue","Automatique")))</f>
        <v/>
      </c>
      <c r="L200" s="148" t="str">
        <f>IF(A200="","",IF('UT2'!$AC$56="Exclue","Exclu",IF('UT2'!$W$56&gt;=$B$3,"Actif - risque significatif",IF(AND('UT2'!$W$56&lt;$B$3,'UT2'!$AD$56="Oui"),"Maîtrisé / clôturable","Maîtrisé - à vérifier"))))</f>
        <v/>
      </c>
      <c r="M200" s="148" t="str">
        <f>IF(A200="","",IF('UT2'!$W$56&gt;=16,"P1 - Critique",IF('UT2'!$W$56&gt;=13,"P2 - Haute",IF('UT2'!$W$56&gt;=9,"P3 - Moyenne","P4 - Basse"))))</f>
        <v/>
      </c>
      <c r="N200" s="148"/>
      <c r="O200" s="148" t="str">
        <f>IF(A200="","",'UT2'!$X$56)</f>
        <v/>
      </c>
      <c r="P200" s="148"/>
      <c r="Q200" s="148"/>
      <c r="R200" s="148" t="str">
        <f>IF(A200="","",'UT2'!$Z$56)</f>
        <v/>
      </c>
      <c r="S200" s="148"/>
      <c r="T200" s="148"/>
      <c r="U200" s="149"/>
      <c r="V200" s="150"/>
      <c r="W200" s="150" t="str">
        <f>IF(A200="","",'UT2'!$Y$56)</f>
        <v/>
      </c>
      <c r="X200" s="148"/>
      <c r="Y200" s="148"/>
      <c r="Z200" s="148"/>
      <c r="AA200" s="148"/>
      <c r="AB200" s="148" t="str">
        <f>IF(A200="","",'UT2'!$AA$56)</f>
        <v/>
      </c>
      <c r="AC200" s="148" t="str">
        <f>IF(A200="","",'UT2'!$AD$56)</f>
        <v/>
      </c>
      <c r="AD200" s="150" t="str">
        <f>IF(A200="","",'UT2'!$AE$56)</f>
        <v/>
      </c>
      <c r="AE200" s="148"/>
      <c r="AF200" s="148"/>
      <c r="AG200" s="148" t="str">
        <f>IF(A200="","",'UT2'!$AF$56)</f>
        <v/>
      </c>
      <c r="AH200" s="151" t="str">
        <f t="shared" si="7"/>
        <v/>
      </c>
    </row>
    <row r="201" spans="1:34">
      <c r="A201" s="148" t="str">
        <f>IF(OR(IFERROR('UT2'!$W$57&gt;=$B$3,FALSE),'UT2'!$AC$57="Forcée",'UT2'!$X$57&lt;&gt;"",'UT2'!$AA$57&lt;&gt;""),"UT2-57","")</f>
        <v/>
      </c>
      <c r="B201" s="148" t="str">
        <f>IF(OR(IFERROR('UT2'!$W$57&gt;=$B$3,FALSE),'UT2'!$AC$57="Forcée",'UT2'!$X$57&lt;&gt;"",'UT2'!$AA$57&lt;&gt;""),"UT2","")</f>
        <v/>
      </c>
      <c r="C201" s="148" t="str">
        <f>IF(OR(IFERROR('UT2'!$W$57&gt;=$B$3,FALSE),'UT2'!$AC$57="Forcée",'UT2'!$X$57&lt;&gt;"",'UT2'!$AA$57&lt;&gt;""),'UT2'!$A$57,"")</f>
        <v/>
      </c>
      <c r="D201" s="148" t="str">
        <f>IF(OR(IFERROR('UT2'!$W$57&gt;=$B$3,FALSE),'UT2'!$AC$57="Forcée",'UT2'!$X$57&lt;&gt;"",'UT2'!$AA$57&lt;&gt;""),'UT2'!$B$57,"")</f>
        <v/>
      </c>
      <c r="E201" s="148" t="str">
        <f>IF(OR(IFERROR('UT2'!$W$57&gt;=$B$3,FALSE),'UT2'!$AC$57="Forcée",'UT2'!$X$57&lt;&gt;"",'UT2'!$AA$57&lt;&gt;""),'UT2'!$C$57,"")</f>
        <v/>
      </c>
      <c r="F201" s="148" t="str">
        <f>IF(OR(IFERROR('UT2'!$W$57&gt;=$B$3,FALSE),'UT2'!$AC$57="Forcée",'UT2'!$X$57&lt;&gt;"",'UT2'!$AA$57&lt;&gt;""),'UT2'!$D$57,"")</f>
        <v/>
      </c>
      <c r="G201" s="148" t="str">
        <f>IF(OR(IFERROR('UT2'!$W$57&gt;=$B$3,FALSE),'UT2'!$AC$57="Forcée",'UT2'!$X$57&lt;&gt;"",'UT2'!$AA$57&lt;&gt;""),'UT2'!$E$57,"")</f>
        <v/>
      </c>
      <c r="H201" s="148" t="str">
        <f>IF(OR(IFERROR('UT2'!$W$57&gt;=$B$3,FALSE),'UT2'!$AC$57="Forcée",'UT2'!$X$57&lt;&gt;"",'UT2'!$AA$57&lt;&gt;""),'UT2'!$H$57,"")</f>
        <v/>
      </c>
      <c r="I201" s="148" t="str">
        <f>IF(OR(IFERROR('UT2'!$W$57&gt;=$B$3,FALSE),'UT2'!$AC$57="Forcée",'UT2'!$X$57&lt;&gt;"",'UT2'!$AA$57&lt;&gt;""),'UT2'!$W$57,"")</f>
        <v/>
      </c>
      <c r="J201" s="148" t="str">
        <f t="shared" si="6"/>
        <v/>
      </c>
      <c r="K201" s="148" t="str">
        <f>IF(A201="","",IF('UT2'!$AC$57="Forcée","Forcée",IF('UT2'!$AC$57="Exclue","Exclue","Automatique")))</f>
        <v/>
      </c>
      <c r="L201" s="148" t="str">
        <f>IF(A201="","",IF('UT2'!$AC$57="Exclue","Exclu",IF('UT2'!$W$57&gt;=$B$3,"Actif - risque significatif",IF(AND('UT2'!$W$57&lt;$B$3,'UT2'!$AD$57="Oui"),"Maîtrisé / clôturable","Maîtrisé - à vérifier"))))</f>
        <v/>
      </c>
      <c r="M201" s="148" t="str">
        <f>IF(A201="","",IF('UT2'!$W$57&gt;=16,"P1 - Critique",IF('UT2'!$W$57&gt;=13,"P2 - Haute",IF('UT2'!$W$57&gt;=9,"P3 - Moyenne","P4 - Basse"))))</f>
        <v/>
      </c>
      <c r="N201" s="148"/>
      <c r="O201" s="148" t="str">
        <f>IF(A201="","",'UT2'!$X$57)</f>
        <v/>
      </c>
      <c r="P201" s="148"/>
      <c r="Q201" s="148"/>
      <c r="R201" s="148" t="str">
        <f>IF(A201="","",'UT2'!$Z$57)</f>
        <v/>
      </c>
      <c r="S201" s="148"/>
      <c r="T201" s="148"/>
      <c r="U201" s="149"/>
      <c r="V201" s="150"/>
      <c r="W201" s="150" t="str">
        <f>IF(A201="","",'UT2'!$Y$57)</f>
        <v/>
      </c>
      <c r="X201" s="148"/>
      <c r="Y201" s="148"/>
      <c r="Z201" s="148"/>
      <c r="AA201" s="148"/>
      <c r="AB201" s="148" t="str">
        <f>IF(A201="","",'UT2'!$AA$57)</f>
        <v/>
      </c>
      <c r="AC201" s="148" t="str">
        <f>IF(A201="","",'UT2'!$AD$57)</f>
        <v/>
      </c>
      <c r="AD201" s="150" t="str">
        <f>IF(A201="","",'UT2'!$AE$57)</f>
        <v/>
      </c>
      <c r="AE201" s="148"/>
      <c r="AF201" s="148"/>
      <c r="AG201" s="148" t="str">
        <f>IF(A201="","",'UT2'!$AF$57)</f>
        <v/>
      </c>
      <c r="AH201" s="151" t="str">
        <f t="shared" si="7"/>
        <v/>
      </c>
    </row>
    <row r="202" spans="1:34">
      <c r="A202" s="148" t="str">
        <f>IF(OR(IFERROR('UT2'!$W$58&gt;=$B$3,FALSE),'UT2'!$AC$58="Forcée",'UT2'!$X$58&lt;&gt;"",'UT2'!$AA$58&lt;&gt;""),"UT2-58","")</f>
        <v/>
      </c>
      <c r="B202" s="148" t="str">
        <f>IF(OR(IFERROR('UT2'!$W$58&gt;=$B$3,FALSE),'UT2'!$AC$58="Forcée",'UT2'!$X$58&lt;&gt;"",'UT2'!$AA$58&lt;&gt;""),"UT2","")</f>
        <v/>
      </c>
      <c r="C202" s="148" t="str">
        <f>IF(OR(IFERROR('UT2'!$W$58&gt;=$B$3,FALSE),'UT2'!$AC$58="Forcée",'UT2'!$X$58&lt;&gt;"",'UT2'!$AA$58&lt;&gt;""),'UT2'!$A$58,"")</f>
        <v/>
      </c>
      <c r="D202" s="148" t="str">
        <f>IF(OR(IFERROR('UT2'!$W$58&gt;=$B$3,FALSE),'UT2'!$AC$58="Forcée",'UT2'!$X$58&lt;&gt;"",'UT2'!$AA$58&lt;&gt;""),'UT2'!$B$58,"")</f>
        <v/>
      </c>
      <c r="E202" s="148" t="str">
        <f>IF(OR(IFERROR('UT2'!$W$58&gt;=$B$3,FALSE),'UT2'!$AC$58="Forcée",'UT2'!$X$58&lt;&gt;"",'UT2'!$AA$58&lt;&gt;""),'UT2'!$C$58,"")</f>
        <v/>
      </c>
      <c r="F202" s="148" t="str">
        <f>IF(OR(IFERROR('UT2'!$W$58&gt;=$B$3,FALSE),'UT2'!$AC$58="Forcée",'UT2'!$X$58&lt;&gt;"",'UT2'!$AA$58&lt;&gt;""),'UT2'!$D$58,"")</f>
        <v/>
      </c>
      <c r="G202" s="148" t="str">
        <f>IF(OR(IFERROR('UT2'!$W$58&gt;=$B$3,FALSE),'UT2'!$AC$58="Forcée",'UT2'!$X$58&lt;&gt;"",'UT2'!$AA$58&lt;&gt;""),'UT2'!$E$58,"")</f>
        <v/>
      </c>
      <c r="H202" s="148" t="str">
        <f>IF(OR(IFERROR('UT2'!$W$58&gt;=$B$3,FALSE),'UT2'!$AC$58="Forcée",'UT2'!$X$58&lt;&gt;"",'UT2'!$AA$58&lt;&gt;""),'UT2'!$H$58,"")</f>
        <v/>
      </c>
      <c r="I202" s="148" t="str">
        <f>IF(OR(IFERROR('UT2'!$W$58&gt;=$B$3,FALSE),'UT2'!$AC$58="Forcée",'UT2'!$X$58&lt;&gt;"",'UT2'!$AA$58&lt;&gt;""),'UT2'!$W$58,"")</f>
        <v/>
      </c>
      <c r="J202" s="148" t="str">
        <f t="shared" si="6"/>
        <v/>
      </c>
      <c r="K202" s="148" t="str">
        <f>IF(A202="","",IF('UT2'!$AC$58="Forcée","Forcée",IF('UT2'!$AC$58="Exclue","Exclue","Automatique")))</f>
        <v/>
      </c>
      <c r="L202" s="148" t="str">
        <f>IF(A202="","",IF('UT2'!$AC$58="Exclue","Exclu",IF('UT2'!$W$58&gt;=$B$3,"Actif - risque significatif",IF(AND('UT2'!$W$58&lt;$B$3,'UT2'!$AD$58="Oui"),"Maîtrisé / clôturable","Maîtrisé - à vérifier"))))</f>
        <v/>
      </c>
      <c r="M202" s="148" t="str">
        <f>IF(A202="","",IF('UT2'!$W$58&gt;=16,"P1 - Critique",IF('UT2'!$W$58&gt;=13,"P2 - Haute",IF('UT2'!$W$58&gt;=9,"P3 - Moyenne","P4 - Basse"))))</f>
        <v/>
      </c>
      <c r="N202" s="148"/>
      <c r="O202" s="148" t="str">
        <f>IF(A202="","",'UT2'!$X$58)</f>
        <v/>
      </c>
      <c r="P202" s="148"/>
      <c r="Q202" s="148"/>
      <c r="R202" s="148" t="str">
        <f>IF(A202="","",'UT2'!$Z$58)</f>
        <v/>
      </c>
      <c r="S202" s="148"/>
      <c r="T202" s="148"/>
      <c r="U202" s="149"/>
      <c r="V202" s="150"/>
      <c r="W202" s="150" t="str">
        <f>IF(A202="","",'UT2'!$Y$58)</f>
        <v/>
      </c>
      <c r="X202" s="148"/>
      <c r="Y202" s="148"/>
      <c r="Z202" s="148"/>
      <c r="AA202" s="148"/>
      <c r="AB202" s="148" t="str">
        <f>IF(A202="","",'UT2'!$AA$58)</f>
        <v/>
      </c>
      <c r="AC202" s="148" t="str">
        <f>IF(A202="","",'UT2'!$AD$58)</f>
        <v/>
      </c>
      <c r="AD202" s="150" t="str">
        <f>IF(A202="","",'UT2'!$AE$58)</f>
        <v/>
      </c>
      <c r="AE202" s="148"/>
      <c r="AF202" s="148"/>
      <c r="AG202" s="148" t="str">
        <f>IF(A202="","",'UT2'!$AF$58)</f>
        <v/>
      </c>
      <c r="AH202" s="151" t="str">
        <f t="shared" si="7"/>
        <v/>
      </c>
    </row>
    <row r="203" spans="1:34">
      <c r="A203" s="148" t="str">
        <f>IF(OR(IFERROR('UT2'!$W$59&gt;=$B$3,FALSE),'UT2'!$AC$59="Forcée",'UT2'!$X$59&lt;&gt;"",'UT2'!$AA$59&lt;&gt;""),"UT2-59","")</f>
        <v/>
      </c>
      <c r="B203" s="148" t="str">
        <f>IF(OR(IFERROR('UT2'!$W$59&gt;=$B$3,FALSE),'UT2'!$AC$59="Forcée",'UT2'!$X$59&lt;&gt;"",'UT2'!$AA$59&lt;&gt;""),"UT2","")</f>
        <v/>
      </c>
      <c r="C203" s="148" t="str">
        <f>IF(OR(IFERROR('UT2'!$W$59&gt;=$B$3,FALSE),'UT2'!$AC$59="Forcée",'UT2'!$X$59&lt;&gt;"",'UT2'!$AA$59&lt;&gt;""),'UT2'!$A$59,"")</f>
        <v/>
      </c>
      <c r="D203" s="148" t="str">
        <f>IF(OR(IFERROR('UT2'!$W$59&gt;=$B$3,FALSE),'UT2'!$AC$59="Forcée",'UT2'!$X$59&lt;&gt;"",'UT2'!$AA$59&lt;&gt;""),'UT2'!$B$59,"")</f>
        <v/>
      </c>
      <c r="E203" s="148" t="str">
        <f>IF(OR(IFERROR('UT2'!$W$59&gt;=$B$3,FALSE),'UT2'!$AC$59="Forcée",'UT2'!$X$59&lt;&gt;"",'UT2'!$AA$59&lt;&gt;""),'UT2'!$C$59,"")</f>
        <v/>
      </c>
      <c r="F203" s="148" t="str">
        <f>IF(OR(IFERROR('UT2'!$W$59&gt;=$B$3,FALSE),'UT2'!$AC$59="Forcée",'UT2'!$X$59&lt;&gt;"",'UT2'!$AA$59&lt;&gt;""),'UT2'!$D$59,"")</f>
        <v/>
      </c>
      <c r="G203" s="148" t="str">
        <f>IF(OR(IFERROR('UT2'!$W$59&gt;=$B$3,FALSE),'UT2'!$AC$59="Forcée",'UT2'!$X$59&lt;&gt;"",'UT2'!$AA$59&lt;&gt;""),'UT2'!$E$59,"")</f>
        <v/>
      </c>
      <c r="H203" s="148" t="str">
        <f>IF(OR(IFERROR('UT2'!$W$59&gt;=$B$3,FALSE),'UT2'!$AC$59="Forcée",'UT2'!$X$59&lt;&gt;"",'UT2'!$AA$59&lt;&gt;""),'UT2'!$H$59,"")</f>
        <v/>
      </c>
      <c r="I203" s="148" t="str">
        <f>IF(OR(IFERROR('UT2'!$W$59&gt;=$B$3,FALSE),'UT2'!$AC$59="Forcée",'UT2'!$X$59&lt;&gt;"",'UT2'!$AA$59&lt;&gt;""),'UT2'!$W$59,"")</f>
        <v/>
      </c>
      <c r="J203" s="148" t="str">
        <f t="shared" si="6"/>
        <v/>
      </c>
      <c r="K203" s="148" t="str">
        <f>IF(A203="","",IF('UT2'!$AC$59="Forcée","Forcée",IF('UT2'!$AC$59="Exclue","Exclue","Automatique")))</f>
        <v/>
      </c>
      <c r="L203" s="148" t="str">
        <f>IF(A203="","",IF('UT2'!$AC$59="Exclue","Exclu",IF('UT2'!$W$59&gt;=$B$3,"Actif - risque significatif",IF(AND('UT2'!$W$59&lt;$B$3,'UT2'!$AD$59="Oui"),"Maîtrisé / clôturable","Maîtrisé - à vérifier"))))</f>
        <v/>
      </c>
      <c r="M203" s="148" t="str">
        <f>IF(A203="","",IF('UT2'!$W$59&gt;=16,"P1 - Critique",IF('UT2'!$W$59&gt;=13,"P2 - Haute",IF('UT2'!$W$59&gt;=9,"P3 - Moyenne","P4 - Basse"))))</f>
        <v/>
      </c>
      <c r="N203" s="148"/>
      <c r="O203" s="148" t="str">
        <f>IF(A203="","",'UT2'!$X$59)</f>
        <v/>
      </c>
      <c r="P203" s="148"/>
      <c r="Q203" s="148"/>
      <c r="R203" s="148" t="str">
        <f>IF(A203="","",'UT2'!$Z$59)</f>
        <v/>
      </c>
      <c r="S203" s="148"/>
      <c r="T203" s="148"/>
      <c r="U203" s="149"/>
      <c r="V203" s="150"/>
      <c r="W203" s="150" t="str">
        <f>IF(A203="","",'UT2'!$Y$59)</f>
        <v/>
      </c>
      <c r="X203" s="148"/>
      <c r="Y203" s="148"/>
      <c r="Z203" s="148"/>
      <c r="AA203" s="148"/>
      <c r="AB203" s="148" t="str">
        <f>IF(A203="","",'UT2'!$AA$59)</f>
        <v/>
      </c>
      <c r="AC203" s="148" t="str">
        <f>IF(A203="","",'UT2'!$AD$59)</f>
        <v/>
      </c>
      <c r="AD203" s="150" t="str">
        <f>IF(A203="","",'UT2'!$AE$59)</f>
        <v/>
      </c>
      <c r="AE203" s="148"/>
      <c r="AF203" s="148"/>
      <c r="AG203" s="148" t="str">
        <f>IF(A203="","",'UT2'!$AF$59)</f>
        <v/>
      </c>
      <c r="AH203" s="151" t="str">
        <f t="shared" si="7"/>
        <v/>
      </c>
    </row>
    <row r="204" spans="1:34">
      <c r="A204" s="148" t="str">
        <f>IF(OR(IFERROR('UT2'!$W$60&gt;=$B$3,FALSE),'UT2'!$AC$60="Forcée",'UT2'!$X$60&lt;&gt;"",'UT2'!$AA$60&lt;&gt;""),"UT2-60","")</f>
        <v/>
      </c>
      <c r="B204" s="148" t="str">
        <f>IF(OR(IFERROR('UT2'!$W$60&gt;=$B$3,FALSE),'UT2'!$AC$60="Forcée",'UT2'!$X$60&lt;&gt;"",'UT2'!$AA$60&lt;&gt;""),"UT2","")</f>
        <v/>
      </c>
      <c r="C204" s="148" t="str">
        <f>IF(OR(IFERROR('UT2'!$W$60&gt;=$B$3,FALSE),'UT2'!$AC$60="Forcée",'UT2'!$X$60&lt;&gt;"",'UT2'!$AA$60&lt;&gt;""),'UT2'!$A$60,"")</f>
        <v/>
      </c>
      <c r="D204" s="148" t="str">
        <f>IF(OR(IFERROR('UT2'!$W$60&gt;=$B$3,FALSE),'UT2'!$AC$60="Forcée",'UT2'!$X$60&lt;&gt;"",'UT2'!$AA$60&lt;&gt;""),'UT2'!$B$60,"")</f>
        <v/>
      </c>
      <c r="E204" s="148" t="str">
        <f>IF(OR(IFERROR('UT2'!$W$60&gt;=$B$3,FALSE),'UT2'!$AC$60="Forcée",'UT2'!$X$60&lt;&gt;"",'UT2'!$AA$60&lt;&gt;""),'UT2'!$C$60,"")</f>
        <v/>
      </c>
      <c r="F204" s="148" t="str">
        <f>IF(OR(IFERROR('UT2'!$W$60&gt;=$B$3,FALSE),'UT2'!$AC$60="Forcée",'UT2'!$X$60&lt;&gt;"",'UT2'!$AA$60&lt;&gt;""),'UT2'!$D$60,"")</f>
        <v/>
      </c>
      <c r="G204" s="148" t="str">
        <f>IF(OR(IFERROR('UT2'!$W$60&gt;=$B$3,FALSE),'UT2'!$AC$60="Forcée",'UT2'!$X$60&lt;&gt;"",'UT2'!$AA$60&lt;&gt;""),'UT2'!$E$60,"")</f>
        <v/>
      </c>
      <c r="H204" s="148" t="str">
        <f>IF(OR(IFERROR('UT2'!$W$60&gt;=$B$3,FALSE),'UT2'!$AC$60="Forcée",'UT2'!$X$60&lt;&gt;"",'UT2'!$AA$60&lt;&gt;""),'UT2'!$H$60,"")</f>
        <v/>
      </c>
      <c r="I204" s="148" t="str">
        <f>IF(OR(IFERROR('UT2'!$W$60&gt;=$B$3,FALSE),'UT2'!$AC$60="Forcée",'UT2'!$X$60&lt;&gt;"",'UT2'!$AA$60&lt;&gt;""),'UT2'!$W$60,"")</f>
        <v/>
      </c>
      <c r="J204" s="148" t="str">
        <f t="shared" si="6"/>
        <v/>
      </c>
      <c r="K204" s="148" t="str">
        <f>IF(A204="","",IF('UT2'!$AC$60="Forcée","Forcée",IF('UT2'!$AC$60="Exclue","Exclue","Automatique")))</f>
        <v/>
      </c>
      <c r="L204" s="148" t="str">
        <f>IF(A204="","",IF('UT2'!$AC$60="Exclue","Exclu",IF('UT2'!$W$60&gt;=$B$3,"Actif - risque significatif",IF(AND('UT2'!$W$60&lt;$B$3,'UT2'!$AD$60="Oui"),"Maîtrisé / clôturable","Maîtrisé - à vérifier"))))</f>
        <v/>
      </c>
      <c r="M204" s="148" t="str">
        <f>IF(A204="","",IF('UT2'!$W$60&gt;=16,"P1 - Critique",IF('UT2'!$W$60&gt;=13,"P2 - Haute",IF('UT2'!$W$60&gt;=9,"P3 - Moyenne","P4 - Basse"))))</f>
        <v/>
      </c>
      <c r="N204" s="148"/>
      <c r="O204" s="148" t="str">
        <f>IF(A204="","",'UT2'!$X$60)</f>
        <v/>
      </c>
      <c r="P204" s="148"/>
      <c r="Q204" s="148"/>
      <c r="R204" s="148" t="str">
        <f>IF(A204="","",'UT2'!$Z$60)</f>
        <v/>
      </c>
      <c r="S204" s="148"/>
      <c r="T204" s="148"/>
      <c r="U204" s="149"/>
      <c r="V204" s="150"/>
      <c r="W204" s="150" t="str">
        <f>IF(A204="","",'UT2'!$Y$60)</f>
        <v/>
      </c>
      <c r="X204" s="148"/>
      <c r="Y204" s="148"/>
      <c r="Z204" s="148"/>
      <c r="AA204" s="148"/>
      <c r="AB204" s="148" t="str">
        <f>IF(A204="","",'UT2'!$AA$60)</f>
        <v/>
      </c>
      <c r="AC204" s="148" t="str">
        <f>IF(A204="","",'UT2'!$AD$60)</f>
        <v/>
      </c>
      <c r="AD204" s="150" t="str">
        <f>IF(A204="","",'UT2'!$AE$60)</f>
        <v/>
      </c>
      <c r="AE204" s="148"/>
      <c r="AF204" s="148"/>
      <c r="AG204" s="148" t="str">
        <f>IF(A204="","",'UT2'!$AF$60)</f>
        <v/>
      </c>
      <c r="AH204" s="151" t="str">
        <f t="shared" si="7"/>
        <v/>
      </c>
    </row>
    <row r="205" spans="1:34">
      <c r="A205" s="148" t="str">
        <f>IF(OR(IFERROR('UT2'!$W$61&gt;=$B$3,FALSE),'UT2'!$AC$61="Forcée",'UT2'!$X$61&lt;&gt;"",'UT2'!$AA$61&lt;&gt;""),"UT2-61","")</f>
        <v/>
      </c>
      <c r="B205" s="148" t="str">
        <f>IF(OR(IFERROR('UT2'!$W$61&gt;=$B$3,FALSE),'UT2'!$AC$61="Forcée",'UT2'!$X$61&lt;&gt;"",'UT2'!$AA$61&lt;&gt;""),"UT2","")</f>
        <v/>
      </c>
      <c r="C205" s="148" t="str">
        <f>IF(OR(IFERROR('UT2'!$W$61&gt;=$B$3,FALSE),'UT2'!$AC$61="Forcée",'UT2'!$X$61&lt;&gt;"",'UT2'!$AA$61&lt;&gt;""),'UT2'!$A$61,"")</f>
        <v/>
      </c>
      <c r="D205" s="148" t="str">
        <f>IF(OR(IFERROR('UT2'!$W$61&gt;=$B$3,FALSE),'UT2'!$AC$61="Forcée",'UT2'!$X$61&lt;&gt;"",'UT2'!$AA$61&lt;&gt;""),'UT2'!$B$61,"")</f>
        <v/>
      </c>
      <c r="E205" s="148" t="str">
        <f>IF(OR(IFERROR('UT2'!$W$61&gt;=$B$3,FALSE),'UT2'!$AC$61="Forcée",'UT2'!$X$61&lt;&gt;"",'UT2'!$AA$61&lt;&gt;""),'UT2'!$C$61,"")</f>
        <v/>
      </c>
      <c r="F205" s="148" t="str">
        <f>IF(OR(IFERROR('UT2'!$W$61&gt;=$B$3,FALSE),'UT2'!$AC$61="Forcée",'UT2'!$X$61&lt;&gt;"",'UT2'!$AA$61&lt;&gt;""),'UT2'!$D$61,"")</f>
        <v/>
      </c>
      <c r="G205" s="148" t="str">
        <f>IF(OR(IFERROR('UT2'!$W$61&gt;=$B$3,FALSE),'UT2'!$AC$61="Forcée",'UT2'!$X$61&lt;&gt;"",'UT2'!$AA$61&lt;&gt;""),'UT2'!$E$61,"")</f>
        <v/>
      </c>
      <c r="H205" s="148" t="str">
        <f>IF(OR(IFERROR('UT2'!$W$61&gt;=$B$3,FALSE),'UT2'!$AC$61="Forcée",'UT2'!$X$61&lt;&gt;"",'UT2'!$AA$61&lt;&gt;""),'UT2'!$H$61,"")</f>
        <v/>
      </c>
      <c r="I205" s="148" t="str">
        <f>IF(OR(IFERROR('UT2'!$W$61&gt;=$B$3,FALSE),'UT2'!$AC$61="Forcée",'UT2'!$X$61&lt;&gt;"",'UT2'!$AA$61&lt;&gt;""),'UT2'!$W$61,"")</f>
        <v/>
      </c>
      <c r="J205" s="148" t="str">
        <f t="shared" si="6"/>
        <v/>
      </c>
      <c r="K205" s="148" t="str">
        <f>IF(A205="","",IF('UT2'!$AC$61="Forcée","Forcée",IF('UT2'!$AC$61="Exclue","Exclue","Automatique")))</f>
        <v/>
      </c>
      <c r="L205" s="148" t="str">
        <f>IF(A205="","",IF('UT2'!$AC$61="Exclue","Exclu",IF('UT2'!$W$61&gt;=$B$3,"Actif - risque significatif",IF(AND('UT2'!$W$61&lt;$B$3,'UT2'!$AD$61="Oui"),"Maîtrisé / clôturable","Maîtrisé - à vérifier"))))</f>
        <v/>
      </c>
      <c r="M205" s="148" t="str">
        <f>IF(A205="","",IF('UT2'!$W$61&gt;=16,"P1 - Critique",IF('UT2'!$W$61&gt;=13,"P2 - Haute",IF('UT2'!$W$61&gt;=9,"P3 - Moyenne","P4 - Basse"))))</f>
        <v/>
      </c>
      <c r="N205" s="148"/>
      <c r="O205" s="148" t="str">
        <f>IF(A205="","",'UT2'!$X$61)</f>
        <v/>
      </c>
      <c r="P205" s="148"/>
      <c r="Q205" s="148"/>
      <c r="R205" s="148" t="str">
        <f>IF(A205="","",'UT2'!$Z$61)</f>
        <v/>
      </c>
      <c r="S205" s="148"/>
      <c r="T205" s="148"/>
      <c r="U205" s="149"/>
      <c r="V205" s="150"/>
      <c r="W205" s="150" t="str">
        <f>IF(A205="","",'UT2'!$Y$61)</f>
        <v/>
      </c>
      <c r="X205" s="148"/>
      <c r="Y205" s="148"/>
      <c r="Z205" s="148"/>
      <c r="AA205" s="148"/>
      <c r="AB205" s="148" t="str">
        <f>IF(A205="","",'UT2'!$AA$61)</f>
        <v/>
      </c>
      <c r="AC205" s="148" t="str">
        <f>IF(A205="","",'UT2'!$AD$61)</f>
        <v/>
      </c>
      <c r="AD205" s="150" t="str">
        <f>IF(A205="","",'UT2'!$AE$61)</f>
        <v/>
      </c>
      <c r="AE205" s="148"/>
      <c r="AF205" s="148"/>
      <c r="AG205" s="148" t="str">
        <f>IF(A205="","",'UT2'!$AF$61)</f>
        <v/>
      </c>
      <c r="AH205" s="151" t="str">
        <f t="shared" si="7"/>
        <v/>
      </c>
    </row>
    <row r="206" spans="1:34">
      <c r="A206" s="148" t="str">
        <f>IF(OR(IFERROR('UT2'!$W$62&gt;=$B$3,FALSE),'UT2'!$AC$62="Forcée",'UT2'!$X$62&lt;&gt;"",'UT2'!$AA$62&lt;&gt;""),"UT2-62","")</f>
        <v/>
      </c>
      <c r="B206" s="148" t="str">
        <f>IF(OR(IFERROR('UT2'!$W$62&gt;=$B$3,FALSE),'UT2'!$AC$62="Forcée",'UT2'!$X$62&lt;&gt;"",'UT2'!$AA$62&lt;&gt;""),"UT2","")</f>
        <v/>
      </c>
      <c r="C206" s="148" t="str">
        <f>IF(OR(IFERROR('UT2'!$W$62&gt;=$B$3,FALSE),'UT2'!$AC$62="Forcée",'UT2'!$X$62&lt;&gt;"",'UT2'!$AA$62&lt;&gt;""),'UT2'!$A$62,"")</f>
        <v/>
      </c>
      <c r="D206" s="148" t="str">
        <f>IF(OR(IFERROR('UT2'!$W$62&gt;=$B$3,FALSE),'UT2'!$AC$62="Forcée",'UT2'!$X$62&lt;&gt;"",'UT2'!$AA$62&lt;&gt;""),'UT2'!$B$62,"")</f>
        <v/>
      </c>
      <c r="E206" s="148" t="str">
        <f>IF(OR(IFERROR('UT2'!$W$62&gt;=$B$3,FALSE),'UT2'!$AC$62="Forcée",'UT2'!$X$62&lt;&gt;"",'UT2'!$AA$62&lt;&gt;""),'UT2'!$C$62,"")</f>
        <v/>
      </c>
      <c r="F206" s="148" t="str">
        <f>IF(OR(IFERROR('UT2'!$W$62&gt;=$B$3,FALSE),'UT2'!$AC$62="Forcée",'UT2'!$X$62&lt;&gt;"",'UT2'!$AA$62&lt;&gt;""),'UT2'!$D$62,"")</f>
        <v/>
      </c>
      <c r="G206" s="148" t="str">
        <f>IF(OR(IFERROR('UT2'!$W$62&gt;=$B$3,FALSE),'UT2'!$AC$62="Forcée",'UT2'!$X$62&lt;&gt;"",'UT2'!$AA$62&lt;&gt;""),'UT2'!$E$62,"")</f>
        <v/>
      </c>
      <c r="H206" s="148" t="str">
        <f>IF(OR(IFERROR('UT2'!$W$62&gt;=$B$3,FALSE),'UT2'!$AC$62="Forcée",'UT2'!$X$62&lt;&gt;"",'UT2'!$AA$62&lt;&gt;""),'UT2'!$H$62,"")</f>
        <v/>
      </c>
      <c r="I206" s="148" t="str">
        <f>IF(OR(IFERROR('UT2'!$W$62&gt;=$B$3,FALSE),'UT2'!$AC$62="Forcée",'UT2'!$X$62&lt;&gt;"",'UT2'!$AA$62&lt;&gt;""),'UT2'!$W$62,"")</f>
        <v/>
      </c>
      <c r="J206" s="148" t="str">
        <f t="shared" si="6"/>
        <v/>
      </c>
      <c r="K206" s="148" t="str">
        <f>IF(A206="","",IF('UT2'!$AC$62="Forcée","Forcée",IF('UT2'!$AC$62="Exclue","Exclue","Automatique")))</f>
        <v/>
      </c>
      <c r="L206" s="148" t="str">
        <f>IF(A206="","",IF('UT2'!$AC$62="Exclue","Exclu",IF('UT2'!$W$62&gt;=$B$3,"Actif - risque significatif",IF(AND('UT2'!$W$62&lt;$B$3,'UT2'!$AD$62="Oui"),"Maîtrisé / clôturable","Maîtrisé - à vérifier"))))</f>
        <v/>
      </c>
      <c r="M206" s="148" t="str">
        <f>IF(A206="","",IF('UT2'!$W$62&gt;=16,"P1 - Critique",IF('UT2'!$W$62&gt;=13,"P2 - Haute",IF('UT2'!$W$62&gt;=9,"P3 - Moyenne","P4 - Basse"))))</f>
        <v/>
      </c>
      <c r="N206" s="148"/>
      <c r="O206" s="148" t="str">
        <f>IF(A206="","",'UT2'!$X$62)</f>
        <v/>
      </c>
      <c r="P206" s="148"/>
      <c r="Q206" s="148"/>
      <c r="R206" s="148" t="str">
        <f>IF(A206="","",'UT2'!$Z$62)</f>
        <v/>
      </c>
      <c r="S206" s="148"/>
      <c r="T206" s="148"/>
      <c r="U206" s="149"/>
      <c r="V206" s="150"/>
      <c r="W206" s="150" t="str">
        <f>IF(A206="","",'UT2'!$Y$62)</f>
        <v/>
      </c>
      <c r="X206" s="148"/>
      <c r="Y206" s="148"/>
      <c r="Z206" s="148"/>
      <c r="AA206" s="148"/>
      <c r="AB206" s="148" t="str">
        <f>IF(A206="","",'UT2'!$AA$62)</f>
        <v/>
      </c>
      <c r="AC206" s="148" t="str">
        <f>IF(A206="","",'UT2'!$AD$62)</f>
        <v/>
      </c>
      <c r="AD206" s="150" t="str">
        <f>IF(A206="","",'UT2'!$AE$62)</f>
        <v/>
      </c>
      <c r="AE206" s="148"/>
      <c r="AF206" s="148"/>
      <c r="AG206" s="148" t="str">
        <f>IF(A206="","",'UT2'!$AF$62)</f>
        <v/>
      </c>
      <c r="AH206" s="151" t="str">
        <f t="shared" si="7"/>
        <v/>
      </c>
    </row>
    <row r="207" spans="1:34">
      <c r="A207" s="148" t="str">
        <f>IF(OR(IFERROR('UT2'!$W$63&gt;=$B$3,FALSE),'UT2'!$AC$63="Forcée",'UT2'!$X$63&lt;&gt;"",'UT2'!$AA$63&lt;&gt;""),"UT2-63","")</f>
        <v/>
      </c>
      <c r="B207" s="148" t="str">
        <f>IF(OR(IFERROR('UT2'!$W$63&gt;=$B$3,FALSE),'UT2'!$AC$63="Forcée",'UT2'!$X$63&lt;&gt;"",'UT2'!$AA$63&lt;&gt;""),"UT2","")</f>
        <v/>
      </c>
      <c r="C207" s="148" t="str">
        <f>IF(OR(IFERROR('UT2'!$W$63&gt;=$B$3,FALSE),'UT2'!$AC$63="Forcée",'UT2'!$X$63&lt;&gt;"",'UT2'!$AA$63&lt;&gt;""),'UT2'!$A$63,"")</f>
        <v/>
      </c>
      <c r="D207" s="148" t="str">
        <f>IF(OR(IFERROR('UT2'!$W$63&gt;=$B$3,FALSE),'UT2'!$AC$63="Forcée",'UT2'!$X$63&lt;&gt;"",'UT2'!$AA$63&lt;&gt;""),'UT2'!$B$63,"")</f>
        <v/>
      </c>
      <c r="E207" s="148" t="str">
        <f>IF(OR(IFERROR('UT2'!$W$63&gt;=$B$3,FALSE),'UT2'!$AC$63="Forcée",'UT2'!$X$63&lt;&gt;"",'UT2'!$AA$63&lt;&gt;""),'UT2'!$C$63,"")</f>
        <v/>
      </c>
      <c r="F207" s="148" t="str">
        <f>IF(OR(IFERROR('UT2'!$W$63&gt;=$B$3,FALSE),'UT2'!$AC$63="Forcée",'UT2'!$X$63&lt;&gt;"",'UT2'!$AA$63&lt;&gt;""),'UT2'!$D$63,"")</f>
        <v/>
      </c>
      <c r="G207" s="148" t="str">
        <f>IF(OR(IFERROR('UT2'!$W$63&gt;=$B$3,FALSE),'UT2'!$AC$63="Forcée",'UT2'!$X$63&lt;&gt;"",'UT2'!$AA$63&lt;&gt;""),'UT2'!$E$63,"")</f>
        <v/>
      </c>
      <c r="H207" s="148" t="str">
        <f>IF(OR(IFERROR('UT2'!$W$63&gt;=$B$3,FALSE),'UT2'!$AC$63="Forcée",'UT2'!$X$63&lt;&gt;"",'UT2'!$AA$63&lt;&gt;""),'UT2'!$H$63,"")</f>
        <v/>
      </c>
      <c r="I207" s="148" t="str">
        <f>IF(OR(IFERROR('UT2'!$W$63&gt;=$B$3,FALSE),'UT2'!$AC$63="Forcée",'UT2'!$X$63&lt;&gt;"",'UT2'!$AA$63&lt;&gt;""),'UT2'!$W$63,"")</f>
        <v/>
      </c>
      <c r="J207" s="148" t="str">
        <f t="shared" si="6"/>
        <v/>
      </c>
      <c r="K207" s="148" t="str">
        <f>IF(A207="","",IF('UT2'!$AC$63="Forcée","Forcée",IF('UT2'!$AC$63="Exclue","Exclue","Automatique")))</f>
        <v/>
      </c>
      <c r="L207" s="148" t="str">
        <f>IF(A207="","",IF('UT2'!$AC$63="Exclue","Exclu",IF('UT2'!$W$63&gt;=$B$3,"Actif - risque significatif",IF(AND('UT2'!$W$63&lt;$B$3,'UT2'!$AD$63="Oui"),"Maîtrisé / clôturable","Maîtrisé - à vérifier"))))</f>
        <v/>
      </c>
      <c r="M207" s="148" t="str">
        <f>IF(A207="","",IF('UT2'!$W$63&gt;=16,"P1 - Critique",IF('UT2'!$W$63&gt;=13,"P2 - Haute",IF('UT2'!$W$63&gt;=9,"P3 - Moyenne","P4 - Basse"))))</f>
        <v/>
      </c>
      <c r="N207" s="148"/>
      <c r="O207" s="148" t="str">
        <f>IF(A207="","",'UT2'!$X$63)</f>
        <v/>
      </c>
      <c r="P207" s="148"/>
      <c r="Q207" s="148"/>
      <c r="R207" s="148" t="str">
        <f>IF(A207="","",'UT2'!$Z$63)</f>
        <v/>
      </c>
      <c r="S207" s="148"/>
      <c r="T207" s="148"/>
      <c r="U207" s="149"/>
      <c r="V207" s="150"/>
      <c r="W207" s="150" t="str">
        <f>IF(A207="","",'UT2'!$Y$63)</f>
        <v/>
      </c>
      <c r="X207" s="148"/>
      <c r="Y207" s="148"/>
      <c r="Z207" s="148"/>
      <c r="AA207" s="148"/>
      <c r="AB207" s="148" t="str">
        <f>IF(A207="","",'UT2'!$AA$63)</f>
        <v/>
      </c>
      <c r="AC207" s="148" t="str">
        <f>IF(A207="","",'UT2'!$AD$63)</f>
        <v/>
      </c>
      <c r="AD207" s="150" t="str">
        <f>IF(A207="","",'UT2'!$AE$63)</f>
        <v/>
      </c>
      <c r="AE207" s="148"/>
      <c r="AF207" s="148"/>
      <c r="AG207" s="148" t="str">
        <f>IF(A207="","",'UT2'!$AF$63)</f>
        <v/>
      </c>
      <c r="AH207" s="151" t="str">
        <f t="shared" si="7"/>
        <v/>
      </c>
    </row>
    <row r="208" spans="1:34">
      <c r="A208" s="148" t="str">
        <f>IF(OR(IFERROR('UT2'!$W$64&gt;=$B$3,FALSE),'UT2'!$AC$64="Forcée",'UT2'!$X$64&lt;&gt;"",'UT2'!$AA$64&lt;&gt;""),"UT2-64","")</f>
        <v/>
      </c>
      <c r="B208" s="148" t="str">
        <f>IF(OR(IFERROR('UT2'!$W$64&gt;=$B$3,FALSE),'UT2'!$AC$64="Forcée",'UT2'!$X$64&lt;&gt;"",'UT2'!$AA$64&lt;&gt;""),"UT2","")</f>
        <v/>
      </c>
      <c r="C208" s="148" t="str">
        <f>IF(OR(IFERROR('UT2'!$W$64&gt;=$B$3,FALSE),'UT2'!$AC$64="Forcée",'UT2'!$X$64&lt;&gt;"",'UT2'!$AA$64&lt;&gt;""),'UT2'!$A$64,"")</f>
        <v/>
      </c>
      <c r="D208" s="148" t="str">
        <f>IF(OR(IFERROR('UT2'!$W$64&gt;=$B$3,FALSE),'UT2'!$AC$64="Forcée",'UT2'!$X$64&lt;&gt;"",'UT2'!$AA$64&lt;&gt;""),'UT2'!$B$64,"")</f>
        <v/>
      </c>
      <c r="E208" s="148" t="str">
        <f>IF(OR(IFERROR('UT2'!$W$64&gt;=$B$3,FALSE),'UT2'!$AC$64="Forcée",'UT2'!$X$64&lt;&gt;"",'UT2'!$AA$64&lt;&gt;""),'UT2'!$C$64,"")</f>
        <v/>
      </c>
      <c r="F208" s="148" t="str">
        <f>IF(OR(IFERROR('UT2'!$W$64&gt;=$B$3,FALSE),'UT2'!$AC$64="Forcée",'UT2'!$X$64&lt;&gt;"",'UT2'!$AA$64&lt;&gt;""),'UT2'!$D$64,"")</f>
        <v/>
      </c>
      <c r="G208" s="148" t="str">
        <f>IF(OR(IFERROR('UT2'!$W$64&gt;=$B$3,FALSE),'UT2'!$AC$64="Forcée",'UT2'!$X$64&lt;&gt;"",'UT2'!$AA$64&lt;&gt;""),'UT2'!$E$64,"")</f>
        <v/>
      </c>
      <c r="H208" s="148" t="str">
        <f>IF(OR(IFERROR('UT2'!$W$64&gt;=$B$3,FALSE),'UT2'!$AC$64="Forcée",'UT2'!$X$64&lt;&gt;"",'UT2'!$AA$64&lt;&gt;""),'UT2'!$H$64,"")</f>
        <v/>
      </c>
      <c r="I208" s="148" t="str">
        <f>IF(OR(IFERROR('UT2'!$W$64&gt;=$B$3,FALSE),'UT2'!$AC$64="Forcée",'UT2'!$X$64&lt;&gt;"",'UT2'!$AA$64&lt;&gt;""),'UT2'!$W$64,"")</f>
        <v/>
      </c>
      <c r="J208" s="148" t="str">
        <f t="shared" si="6"/>
        <v/>
      </c>
      <c r="K208" s="148" t="str">
        <f>IF(A208="","",IF('UT2'!$AC$64="Forcée","Forcée",IF('UT2'!$AC$64="Exclue","Exclue","Automatique")))</f>
        <v/>
      </c>
      <c r="L208" s="148" t="str">
        <f>IF(A208="","",IF('UT2'!$AC$64="Exclue","Exclu",IF('UT2'!$W$64&gt;=$B$3,"Actif - risque significatif",IF(AND('UT2'!$W$64&lt;$B$3,'UT2'!$AD$64="Oui"),"Maîtrisé / clôturable","Maîtrisé - à vérifier"))))</f>
        <v/>
      </c>
      <c r="M208" s="148" t="str">
        <f>IF(A208="","",IF('UT2'!$W$64&gt;=16,"P1 - Critique",IF('UT2'!$W$64&gt;=13,"P2 - Haute",IF('UT2'!$W$64&gt;=9,"P3 - Moyenne","P4 - Basse"))))</f>
        <v/>
      </c>
      <c r="N208" s="148"/>
      <c r="O208" s="148" t="str">
        <f>IF(A208="","",'UT2'!$X$64)</f>
        <v/>
      </c>
      <c r="P208" s="148"/>
      <c r="Q208" s="148"/>
      <c r="R208" s="148" t="str">
        <f>IF(A208="","",'UT2'!$Z$64)</f>
        <v/>
      </c>
      <c r="S208" s="148"/>
      <c r="T208" s="148"/>
      <c r="U208" s="149"/>
      <c r="V208" s="150"/>
      <c r="W208" s="150" t="str">
        <f>IF(A208="","",'UT2'!$Y$64)</f>
        <v/>
      </c>
      <c r="X208" s="148"/>
      <c r="Y208" s="148"/>
      <c r="Z208" s="148"/>
      <c r="AA208" s="148"/>
      <c r="AB208" s="148" t="str">
        <f>IF(A208="","",'UT2'!$AA$64)</f>
        <v/>
      </c>
      <c r="AC208" s="148" t="str">
        <f>IF(A208="","",'UT2'!$AD$64)</f>
        <v/>
      </c>
      <c r="AD208" s="150" t="str">
        <f>IF(A208="","",'UT2'!$AE$64)</f>
        <v/>
      </c>
      <c r="AE208" s="148"/>
      <c r="AF208" s="148"/>
      <c r="AG208" s="148" t="str">
        <f>IF(A208="","",'UT2'!$AF$64)</f>
        <v/>
      </c>
      <c r="AH208" s="151" t="str">
        <f t="shared" si="7"/>
        <v/>
      </c>
    </row>
    <row r="209" spans="1:34">
      <c r="A209" s="148" t="str">
        <f>IF(OR(IFERROR('UT2'!$W$65&gt;=$B$3,FALSE),'UT2'!$AC$65="Forcée",'UT2'!$X$65&lt;&gt;"",'UT2'!$AA$65&lt;&gt;""),"UT2-65","")</f>
        <v/>
      </c>
      <c r="B209" s="148" t="str">
        <f>IF(OR(IFERROR('UT2'!$W$65&gt;=$B$3,FALSE),'UT2'!$AC$65="Forcée",'UT2'!$X$65&lt;&gt;"",'UT2'!$AA$65&lt;&gt;""),"UT2","")</f>
        <v/>
      </c>
      <c r="C209" s="148" t="str">
        <f>IF(OR(IFERROR('UT2'!$W$65&gt;=$B$3,FALSE),'UT2'!$AC$65="Forcée",'UT2'!$X$65&lt;&gt;"",'UT2'!$AA$65&lt;&gt;""),'UT2'!$A$65,"")</f>
        <v/>
      </c>
      <c r="D209" s="148" t="str">
        <f>IF(OR(IFERROR('UT2'!$W$65&gt;=$B$3,FALSE),'UT2'!$AC$65="Forcée",'UT2'!$X$65&lt;&gt;"",'UT2'!$AA$65&lt;&gt;""),'UT2'!$B$65,"")</f>
        <v/>
      </c>
      <c r="E209" s="148" t="str">
        <f>IF(OR(IFERROR('UT2'!$W$65&gt;=$B$3,FALSE),'UT2'!$AC$65="Forcée",'UT2'!$X$65&lt;&gt;"",'UT2'!$AA$65&lt;&gt;""),'UT2'!$C$65,"")</f>
        <v/>
      </c>
      <c r="F209" s="148" t="str">
        <f>IF(OR(IFERROR('UT2'!$W$65&gt;=$B$3,FALSE),'UT2'!$AC$65="Forcée",'UT2'!$X$65&lt;&gt;"",'UT2'!$AA$65&lt;&gt;""),'UT2'!$D$65,"")</f>
        <v/>
      </c>
      <c r="G209" s="148" t="str">
        <f>IF(OR(IFERROR('UT2'!$W$65&gt;=$B$3,FALSE),'UT2'!$AC$65="Forcée",'UT2'!$X$65&lt;&gt;"",'UT2'!$AA$65&lt;&gt;""),'UT2'!$E$65,"")</f>
        <v/>
      </c>
      <c r="H209" s="148" t="str">
        <f>IF(OR(IFERROR('UT2'!$W$65&gt;=$B$3,FALSE),'UT2'!$AC$65="Forcée",'UT2'!$X$65&lt;&gt;"",'UT2'!$AA$65&lt;&gt;""),'UT2'!$H$65,"")</f>
        <v/>
      </c>
      <c r="I209" s="148" t="str">
        <f>IF(OR(IFERROR('UT2'!$W$65&gt;=$B$3,FALSE),'UT2'!$AC$65="Forcée",'UT2'!$X$65&lt;&gt;"",'UT2'!$AA$65&lt;&gt;""),'UT2'!$W$65,"")</f>
        <v/>
      </c>
      <c r="J209" s="148" t="str">
        <f t="shared" si="6"/>
        <v/>
      </c>
      <c r="K209" s="148" t="str">
        <f>IF(A209="","",IF('UT2'!$AC$65="Forcée","Forcée",IF('UT2'!$AC$65="Exclue","Exclue","Automatique")))</f>
        <v/>
      </c>
      <c r="L209" s="148" t="str">
        <f>IF(A209="","",IF('UT2'!$AC$65="Exclue","Exclu",IF('UT2'!$W$65&gt;=$B$3,"Actif - risque significatif",IF(AND('UT2'!$W$65&lt;$B$3,'UT2'!$AD$65="Oui"),"Maîtrisé / clôturable","Maîtrisé - à vérifier"))))</f>
        <v/>
      </c>
      <c r="M209" s="148" t="str">
        <f>IF(A209="","",IF('UT2'!$W$65&gt;=16,"P1 - Critique",IF('UT2'!$W$65&gt;=13,"P2 - Haute",IF('UT2'!$W$65&gt;=9,"P3 - Moyenne","P4 - Basse"))))</f>
        <v/>
      </c>
      <c r="N209" s="148"/>
      <c r="O209" s="148" t="str">
        <f>IF(A209="","",'UT2'!$X$65)</f>
        <v/>
      </c>
      <c r="P209" s="148"/>
      <c r="Q209" s="148"/>
      <c r="R209" s="148" t="str">
        <f>IF(A209="","",'UT2'!$Z$65)</f>
        <v/>
      </c>
      <c r="S209" s="148"/>
      <c r="T209" s="148"/>
      <c r="U209" s="149"/>
      <c r="V209" s="150"/>
      <c r="W209" s="150" t="str">
        <f>IF(A209="","",'UT2'!$Y$65)</f>
        <v/>
      </c>
      <c r="X209" s="148"/>
      <c r="Y209" s="148"/>
      <c r="Z209" s="148"/>
      <c r="AA209" s="148"/>
      <c r="AB209" s="148" t="str">
        <f>IF(A209="","",'UT2'!$AA$65)</f>
        <v/>
      </c>
      <c r="AC209" s="148" t="str">
        <f>IF(A209="","",'UT2'!$AD$65)</f>
        <v/>
      </c>
      <c r="AD209" s="150" t="str">
        <f>IF(A209="","",'UT2'!$AE$65)</f>
        <v/>
      </c>
      <c r="AE209" s="148"/>
      <c r="AF209" s="148"/>
      <c r="AG209" s="148" t="str">
        <f>IF(A209="","",'UT2'!$AF$65)</f>
        <v/>
      </c>
      <c r="AH209" s="151" t="str">
        <f t="shared" si="7"/>
        <v/>
      </c>
    </row>
    <row r="210" spans="1:34">
      <c r="A210" s="148" t="str">
        <f>IF(OR(IFERROR('UT2'!$W$66&gt;=$B$3,FALSE),'UT2'!$AC$66="Forcée",'UT2'!$X$66&lt;&gt;"",'UT2'!$AA$66&lt;&gt;""),"UT2-66","")</f>
        <v/>
      </c>
      <c r="B210" s="148" t="str">
        <f>IF(OR(IFERROR('UT2'!$W$66&gt;=$B$3,FALSE),'UT2'!$AC$66="Forcée",'UT2'!$X$66&lt;&gt;"",'UT2'!$AA$66&lt;&gt;""),"UT2","")</f>
        <v/>
      </c>
      <c r="C210" s="148" t="str">
        <f>IF(OR(IFERROR('UT2'!$W$66&gt;=$B$3,FALSE),'UT2'!$AC$66="Forcée",'UT2'!$X$66&lt;&gt;"",'UT2'!$AA$66&lt;&gt;""),'UT2'!$A$66,"")</f>
        <v/>
      </c>
      <c r="D210" s="148" t="str">
        <f>IF(OR(IFERROR('UT2'!$W$66&gt;=$B$3,FALSE),'UT2'!$AC$66="Forcée",'UT2'!$X$66&lt;&gt;"",'UT2'!$AA$66&lt;&gt;""),'UT2'!$B$66,"")</f>
        <v/>
      </c>
      <c r="E210" s="148" t="str">
        <f>IF(OR(IFERROR('UT2'!$W$66&gt;=$B$3,FALSE),'UT2'!$AC$66="Forcée",'UT2'!$X$66&lt;&gt;"",'UT2'!$AA$66&lt;&gt;""),'UT2'!$C$66,"")</f>
        <v/>
      </c>
      <c r="F210" s="148" t="str">
        <f>IF(OR(IFERROR('UT2'!$W$66&gt;=$B$3,FALSE),'UT2'!$AC$66="Forcée",'UT2'!$X$66&lt;&gt;"",'UT2'!$AA$66&lt;&gt;""),'UT2'!$D$66,"")</f>
        <v/>
      </c>
      <c r="G210" s="148" t="str">
        <f>IF(OR(IFERROR('UT2'!$W$66&gt;=$B$3,FALSE),'UT2'!$AC$66="Forcée",'UT2'!$X$66&lt;&gt;"",'UT2'!$AA$66&lt;&gt;""),'UT2'!$E$66,"")</f>
        <v/>
      </c>
      <c r="H210" s="148" t="str">
        <f>IF(OR(IFERROR('UT2'!$W$66&gt;=$B$3,FALSE),'UT2'!$AC$66="Forcée",'UT2'!$X$66&lt;&gt;"",'UT2'!$AA$66&lt;&gt;""),'UT2'!$H$66,"")</f>
        <v/>
      </c>
      <c r="I210" s="148" t="str">
        <f>IF(OR(IFERROR('UT2'!$W$66&gt;=$B$3,FALSE),'UT2'!$AC$66="Forcée",'UT2'!$X$66&lt;&gt;"",'UT2'!$AA$66&lt;&gt;""),'UT2'!$W$66,"")</f>
        <v/>
      </c>
      <c r="J210" s="148" t="str">
        <f t="shared" si="6"/>
        <v/>
      </c>
      <c r="K210" s="148" t="str">
        <f>IF(A210="","",IF('UT2'!$AC$66="Forcée","Forcée",IF('UT2'!$AC$66="Exclue","Exclue","Automatique")))</f>
        <v/>
      </c>
      <c r="L210" s="148" t="str">
        <f>IF(A210="","",IF('UT2'!$AC$66="Exclue","Exclu",IF('UT2'!$W$66&gt;=$B$3,"Actif - risque significatif",IF(AND('UT2'!$W$66&lt;$B$3,'UT2'!$AD$66="Oui"),"Maîtrisé / clôturable","Maîtrisé - à vérifier"))))</f>
        <v/>
      </c>
      <c r="M210" s="148" t="str">
        <f>IF(A210="","",IF('UT2'!$W$66&gt;=16,"P1 - Critique",IF('UT2'!$W$66&gt;=13,"P2 - Haute",IF('UT2'!$W$66&gt;=9,"P3 - Moyenne","P4 - Basse"))))</f>
        <v/>
      </c>
      <c r="N210" s="148"/>
      <c r="O210" s="148" t="str">
        <f>IF(A210="","",'UT2'!$X$66)</f>
        <v/>
      </c>
      <c r="P210" s="148"/>
      <c r="Q210" s="148"/>
      <c r="R210" s="148" t="str">
        <f>IF(A210="","",'UT2'!$Z$66)</f>
        <v/>
      </c>
      <c r="S210" s="148"/>
      <c r="T210" s="148"/>
      <c r="U210" s="149"/>
      <c r="V210" s="150"/>
      <c r="W210" s="150" t="str">
        <f>IF(A210="","",'UT2'!$Y$66)</f>
        <v/>
      </c>
      <c r="X210" s="148"/>
      <c r="Y210" s="148"/>
      <c r="Z210" s="148"/>
      <c r="AA210" s="148"/>
      <c r="AB210" s="148" t="str">
        <f>IF(A210="","",'UT2'!$AA$66)</f>
        <v/>
      </c>
      <c r="AC210" s="148" t="str">
        <f>IF(A210="","",'UT2'!$AD$66)</f>
        <v/>
      </c>
      <c r="AD210" s="150" t="str">
        <f>IF(A210="","",'UT2'!$AE$66)</f>
        <v/>
      </c>
      <c r="AE210" s="148"/>
      <c r="AF210" s="148"/>
      <c r="AG210" s="148" t="str">
        <f>IF(A210="","",'UT2'!$AF$66)</f>
        <v/>
      </c>
      <c r="AH210" s="151" t="str">
        <f t="shared" si="7"/>
        <v/>
      </c>
    </row>
    <row r="211" spans="1:34">
      <c r="A211" s="148" t="str">
        <f>IF(OR(IFERROR('UT2'!$W$67&gt;=$B$3,FALSE),'UT2'!$AC$67="Forcée",'UT2'!$X$67&lt;&gt;"",'UT2'!$AA$67&lt;&gt;""),"UT2-67","")</f>
        <v/>
      </c>
      <c r="B211" s="148" t="str">
        <f>IF(OR(IFERROR('UT2'!$W$67&gt;=$B$3,FALSE),'UT2'!$AC$67="Forcée",'UT2'!$X$67&lt;&gt;"",'UT2'!$AA$67&lt;&gt;""),"UT2","")</f>
        <v/>
      </c>
      <c r="C211" s="148" t="str">
        <f>IF(OR(IFERROR('UT2'!$W$67&gt;=$B$3,FALSE),'UT2'!$AC$67="Forcée",'UT2'!$X$67&lt;&gt;"",'UT2'!$AA$67&lt;&gt;""),'UT2'!$A$67,"")</f>
        <v/>
      </c>
      <c r="D211" s="148" t="str">
        <f>IF(OR(IFERROR('UT2'!$W$67&gt;=$B$3,FALSE),'UT2'!$AC$67="Forcée",'UT2'!$X$67&lt;&gt;"",'UT2'!$AA$67&lt;&gt;""),'UT2'!$B$67,"")</f>
        <v/>
      </c>
      <c r="E211" s="148" t="str">
        <f>IF(OR(IFERROR('UT2'!$W$67&gt;=$B$3,FALSE),'UT2'!$AC$67="Forcée",'UT2'!$X$67&lt;&gt;"",'UT2'!$AA$67&lt;&gt;""),'UT2'!$C$67,"")</f>
        <v/>
      </c>
      <c r="F211" s="148" t="str">
        <f>IF(OR(IFERROR('UT2'!$W$67&gt;=$B$3,FALSE),'UT2'!$AC$67="Forcée",'UT2'!$X$67&lt;&gt;"",'UT2'!$AA$67&lt;&gt;""),'UT2'!$D$67,"")</f>
        <v/>
      </c>
      <c r="G211" s="148" t="str">
        <f>IF(OR(IFERROR('UT2'!$W$67&gt;=$B$3,FALSE),'UT2'!$AC$67="Forcée",'UT2'!$X$67&lt;&gt;"",'UT2'!$AA$67&lt;&gt;""),'UT2'!$E$67,"")</f>
        <v/>
      </c>
      <c r="H211" s="148" t="str">
        <f>IF(OR(IFERROR('UT2'!$W$67&gt;=$B$3,FALSE),'UT2'!$AC$67="Forcée",'UT2'!$X$67&lt;&gt;"",'UT2'!$AA$67&lt;&gt;""),'UT2'!$H$67,"")</f>
        <v/>
      </c>
      <c r="I211" s="148" t="str">
        <f>IF(OR(IFERROR('UT2'!$W$67&gt;=$B$3,FALSE),'UT2'!$AC$67="Forcée",'UT2'!$X$67&lt;&gt;"",'UT2'!$AA$67&lt;&gt;""),'UT2'!$W$67,"")</f>
        <v/>
      </c>
      <c r="J211" s="148" t="str">
        <f t="shared" si="6"/>
        <v/>
      </c>
      <c r="K211" s="148" t="str">
        <f>IF(A211="","",IF('UT2'!$AC$67="Forcée","Forcée",IF('UT2'!$AC$67="Exclue","Exclue","Automatique")))</f>
        <v/>
      </c>
      <c r="L211" s="148" t="str">
        <f>IF(A211="","",IF('UT2'!$AC$67="Exclue","Exclu",IF('UT2'!$W$67&gt;=$B$3,"Actif - risque significatif",IF(AND('UT2'!$W$67&lt;$B$3,'UT2'!$AD$67="Oui"),"Maîtrisé / clôturable","Maîtrisé - à vérifier"))))</f>
        <v/>
      </c>
      <c r="M211" s="148" t="str">
        <f>IF(A211="","",IF('UT2'!$W$67&gt;=16,"P1 - Critique",IF('UT2'!$W$67&gt;=13,"P2 - Haute",IF('UT2'!$W$67&gt;=9,"P3 - Moyenne","P4 - Basse"))))</f>
        <v/>
      </c>
      <c r="N211" s="148"/>
      <c r="O211" s="148" t="str">
        <f>IF(A211="","",'UT2'!$X$67)</f>
        <v/>
      </c>
      <c r="P211" s="148"/>
      <c r="Q211" s="148"/>
      <c r="R211" s="148" t="str">
        <f>IF(A211="","",'UT2'!$Z$67)</f>
        <v/>
      </c>
      <c r="S211" s="148"/>
      <c r="T211" s="148"/>
      <c r="U211" s="149"/>
      <c r="V211" s="150"/>
      <c r="W211" s="150" t="str">
        <f>IF(A211="","",'UT2'!$Y$67)</f>
        <v/>
      </c>
      <c r="X211" s="148"/>
      <c r="Y211" s="148"/>
      <c r="Z211" s="148"/>
      <c r="AA211" s="148"/>
      <c r="AB211" s="148" t="str">
        <f>IF(A211="","",'UT2'!$AA$67)</f>
        <v/>
      </c>
      <c r="AC211" s="148" t="str">
        <f>IF(A211="","",'UT2'!$AD$67)</f>
        <v/>
      </c>
      <c r="AD211" s="150" t="str">
        <f>IF(A211="","",'UT2'!$AE$67)</f>
        <v/>
      </c>
      <c r="AE211" s="148"/>
      <c r="AF211" s="148"/>
      <c r="AG211" s="148" t="str">
        <f>IF(A211="","",'UT2'!$AF$67)</f>
        <v/>
      </c>
      <c r="AH211" s="151" t="str">
        <f t="shared" si="7"/>
        <v/>
      </c>
    </row>
    <row r="212" spans="1:34">
      <c r="A212" s="148" t="str">
        <f>IF(OR(IFERROR('UT2'!$W$68&gt;=$B$3,FALSE),'UT2'!$AC$68="Forcée",'UT2'!$X$68&lt;&gt;"",'UT2'!$AA$68&lt;&gt;""),"UT2-68","")</f>
        <v/>
      </c>
      <c r="B212" s="148" t="str">
        <f>IF(OR(IFERROR('UT2'!$W$68&gt;=$B$3,FALSE),'UT2'!$AC$68="Forcée",'UT2'!$X$68&lt;&gt;"",'UT2'!$AA$68&lt;&gt;""),"UT2","")</f>
        <v/>
      </c>
      <c r="C212" s="148" t="str">
        <f>IF(OR(IFERROR('UT2'!$W$68&gt;=$B$3,FALSE),'UT2'!$AC$68="Forcée",'UT2'!$X$68&lt;&gt;"",'UT2'!$AA$68&lt;&gt;""),'UT2'!$A$68,"")</f>
        <v/>
      </c>
      <c r="D212" s="148" t="str">
        <f>IF(OR(IFERROR('UT2'!$W$68&gt;=$B$3,FALSE),'UT2'!$AC$68="Forcée",'UT2'!$X$68&lt;&gt;"",'UT2'!$AA$68&lt;&gt;""),'UT2'!$B$68,"")</f>
        <v/>
      </c>
      <c r="E212" s="148" t="str">
        <f>IF(OR(IFERROR('UT2'!$W$68&gt;=$B$3,FALSE),'UT2'!$AC$68="Forcée",'UT2'!$X$68&lt;&gt;"",'UT2'!$AA$68&lt;&gt;""),'UT2'!$C$68,"")</f>
        <v/>
      </c>
      <c r="F212" s="148" t="str">
        <f>IF(OR(IFERROR('UT2'!$W$68&gt;=$B$3,FALSE),'UT2'!$AC$68="Forcée",'UT2'!$X$68&lt;&gt;"",'UT2'!$AA$68&lt;&gt;""),'UT2'!$D$68,"")</f>
        <v/>
      </c>
      <c r="G212" s="148" t="str">
        <f>IF(OR(IFERROR('UT2'!$W$68&gt;=$B$3,FALSE),'UT2'!$AC$68="Forcée",'UT2'!$X$68&lt;&gt;"",'UT2'!$AA$68&lt;&gt;""),'UT2'!$E$68,"")</f>
        <v/>
      </c>
      <c r="H212" s="148" t="str">
        <f>IF(OR(IFERROR('UT2'!$W$68&gt;=$B$3,FALSE),'UT2'!$AC$68="Forcée",'UT2'!$X$68&lt;&gt;"",'UT2'!$AA$68&lt;&gt;""),'UT2'!$H$68,"")</f>
        <v/>
      </c>
      <c r="I212" s="148" t="str">
        <f>IF(OR(IFERROR('UT2'!$W$68&gt;=$B$3,FALSE),'UT2'!$AC$68="Forcée",'UT2'!$X$68&lt;&gt;"",'UT2'!$AA$68&lt;&gt;""),'UT2'!$W$68,"")</f>
        <v/>
      </c>
      <c r="J212" s="148" t="str">
        <f t="shared" si="6"/>
        <v/>
      </c>
      <c r="K212" s="148" t="str">
        <f>IF(A212="","",IF('UT2'!$AC$68="Forcée","Forcée",IF('UT2'!$AC$68="Exclue","Exclue","Automatique")))</f>
        <v/>
      </c>
      <c r="L212" s="148" t="str">
        <f>IF(A212="","",IF('UT2'!$AC$68="Exclue","Exclu",IF('UT2'!$W$68&gt;=$B$3,"Actif - risque significatif",IF(AND('UT2'!$W$68&lt;$B$3,'UT2'!$AD$68="Oui"),"Maîtrisé / clôturable","Maîtrisé - à vérifier"))))</f>
        <v/>
      </c>
      <c r="M212" s="148" t="str">
        <f>IF(A212="","",IF('UT2'!$W$68&gt;=16,"P1 - Critique",IF('UT2'!$W$68&gt;=13,"P2 - Haute",IF('UT2'!$W$68&gt;=9,"P3 - Moyenne","P4 - Basse"))))</f>
        <v/>
      </c>
      <c r="N212" s="148"/>
      <c r="O212" s="148" t="str">
        <f>IF(A212="","",'UT2'!$X$68)</f>
        <v/>
      </c>
      <c r="P212" s="148"/>
      <c r="Q212" s="148"/>
      <c r="R212" s="148" t="str">
        <f>IF(A212="","",'UT2'!$Z$68)</f>
        <v/>
      </c>
      <c r="S212" s="148"/>
      <c r="T212" s="148"/>
      <c r="U212" s="149"/>
      <c r="V212" s="150"/>
      <c r="W212" s="150" t="str">
        <f>IF(A212="","",'UT2'!$Y$68)</f>
        <v/>
      </c>
      <c r="X212" s="148"/>
      <c r="Y212" s="148"/>
      <c r="Z212" s="148"/>
      <c r="AA212" s="148"/>
      <c r="AB212" s="148" t="str">
        <f>IF(A212="","",'UT2'!$AA$68)</f>
        <v/>
      </c>
      <c r="AC212" s="148" t="str">
        <f>IF(A212="","",'UT2'!$AD$68)</f>
        <v/>
      </c>
      <c r="AD212" s="150" t="str">
        <f>IF(A212="","",'UT2'!$AE$68)</f>
        <v/>
      </c>
      <c r="AE212" s="148"/>
      <c r="AF212" s="148"/>
      <c r="AG212" s="148" t="str">
        <f>IF(A212="","",'UT2'!$AF$68)</f>
        <v/>
      </c>
      <c r="AH212" s="151" t="str">
        <f t="shared" si="7"/>
        <v/>
      </c>
    </row>
    <row r="213" spans="1:34">
      <c r="A213" s="148" t="str">
        <f>IF(OR(IFERROR('UT2'!$W$69&gt;=$B$3,FALSE),'UT2'!$AC$69="Forcée",'UT2'!$X$69&lt;&gt;"",'UT2'!$AA$69&lt;&gt;""),"UT2-69","")</f>
        <v/>
      </c>
      <c r="B213" s="148" t="str">
        <f>IF(OR(IFERROR('UT2'!$W$69&gt;=$B$3,FALSE),'UT2'!$AC$69="Forcée",'UT2'!$X$69&lt;&gt;"",'UT2'!$AA$69&lt;&gt;""),"UT2","")</f>
        <v/>
      </c>
      <c r="C213" s="148" t="str">
        <f>IF(OR(IFERROR('UT2'!$W$69&gt;=$B$3,FALSE),'UT2'!$AC$69="Forcée",'UT2'!$X$69&lt;&gt;"",'UT2'!$AA$69&lt;&gt;""),'UT2'!$A$69,"")</f>
        <v/>
      </c>
      <c r="D213" s="148" t="str">
        <f>IF(OR(IFERROR('UT2'!$W$69&gt;=$B$3,FALSE),'UT2'!$AC$69="Forcée",'UT2'!$X$69&lt;&gt;"",'UT2'!$AA$69&lt;&gt;""),'UT2'!$B$69,"")</f>
        <v/>
      </c>
      <c r="E213" s="148" t="str">
        <f>IF(OR(IFERROR('UT2'!$W$69&gt;=$B$3,FALSE),'UT2'!$AC$69="Forcée",'UT2'!$X$69&lt;&gt;"",'UT2'!$AA$69&lt;&gt;""),'UT2'!$C$69,"")</f>
        <v/>
      </c>
      <c r="F213" s="148" t="str">
        <f>IF(OR(IFERROR('UT2'!$W$69&gt;=$B$3,FALSE),'UT2'!$AC$69="Forcée",'UT2'!$X$69&lt;&gt;"",'UT2'!$AA$69&lt;&gt;""),'UT2'!$D$69,"")</f>
        <v/>
      </c>
      <c r="G213" s="148" t="str">
        <f>IF(OR(IFERROR('UT2'!$W$69&gt;=$B$3,FALSE),'UT2'!$AC$69="Forcée",'UT2'!$X$69&lt;&gt;"",'UT2'!$AA$69&lt;&gt;""),'UT2'!$E$69,"")</f>
        <v/>
      </c>
      <c r="H213" s="148" t="str">
        <f>IF(OR(IFERROR('UT2'!$W$69&gt;=$B$3,FALSE),'UT2'!$AC$69="Forcée",'UT2'!$X$69&lt;&gt;"",'UT2'!$AA$69&lt;&gt;""),'UT2'!$H$69,"")</f>
        <v/>
      </c>
      <c r="I213" s="148" t="str">
        <f>IF(OR(IFERROR('UT2'!$W$69&gt;=$B$3,FALSE),'UT2'!$AC$69="Forcée",'UT2'!$X$69&lt;&gt;"",'UT2'!$AA$69&lt;&gt;""),'UT2'!$W$69,"")</f>
        <v/>
      </c>
      <c r="J213" s="148" t="str">
        <f t="shared" si="6"/>
        <v/>
      </c>
      <c r="K213" s="148" t="str">
        <f>IF(A213="","",IF('UT2'!$AC$69="Forcée","Forcée",IF('UT2'!$AC$69="Exclue","Exclue","Automatique")))</f>
        <v/>
      </c>
      <c r="L213" s="148" t="str">
        <f>IF(A213="","",IF('UT2'!$AC$69="Exclue","Exclu",IF('UT2'!$W$69&gt;=$B$3,"Actif - risque significatif",IF(AND('UT2'!$W$69&lt;$B$3,'UT2'!$AD$69="Oui"),"Maîtrisé / clôturable","Maîtrisé - à vérifier"))))</f>
        <v/>
      </c>
      <c r="M213" s="148" t="str">
        <f>IF(A213="","",IF('UT2'!$W$69&gt;=16,"P1 - Critique",IF('UT2'!$W$69&gt;=13,"P2 - Haute",IF('UT2'!$W$69&gt;=9,"P3 - Moyenne","P4 - Basse"))))</f>
        <v/>
      </c>
      <c r="N213" s="148"/>
      <c r="O213" s="148" t="str">
        <f>IF(A213="","",'UT2'!$X$69)</f>
        <v/>
      </c>
      <c r="P213" s="148"/>
      <c r="Q213" s="148"/>
      <c r="R213" s="148" t="str">
        <f>IF(A213="","",'UT2'!$Z$69)</f>
        <v/>
      </c>
      <c r="S213" s="148"/>
      <c r="T213" s="148"/>
      <c r="U213" s="149"/>
      <c r="V213" s="150"/>
      <c r="W213" s="150" t="str">
        <f>IF(A213="","",'UT2'!$Y$69)</f>
        <v/>
      </c>
      <c r="X213" s="148"/>
      <c r="Y213" s="148"/>
      <c r="Z213" s="148"/>
      <c r="AA213" s="148"/>
      <c r="AB213" s="148" t="str">
        <f>IF(A213="","",'UT2'!$AA$69)</f>
        <v/>
      </c>
      <c r="AC213" s="148" t="str">
        <f>IF(A213="","",'UT2'!$AD$69)</f>
        <v/>
      </c>
      <c r="AD213" s="150" t="str">
        <f>IF(A213="","",'UT2'!$AE$69)</f>
        <v/>
      </c>
      <c r="AE213" s="148"/>
      <c r="AF213" s="148"/>
      <c r="AG213" s="148" t="str">
        <f>IF(A213="","",'UT2'!$AF$69)</f>
        <v/>
      </c>
      <c r="AH213" s="151" t="str">
        <f t="shared" si="7"/>
        <v/>
      </c>
    </row>
    <row r="214" spans="1:34">
      <c r="A214" s="148" t="str">
        <f>IF(OR(IFERROR('UT2'!$W$70&gt;=$B$3,FALSE),'UT2'!$AC$70="Forcée",'UT2'!$X$70&lt;&gt;"",'UT2'!$AA$70&lt;&gt;""),"UT2-70","")</f>
        <v/>
      </c>
      <c r="B214" s="148" t="str">
        <f>IF(OR(IFERROR('UT2'!$W$70&gt;=$B$3,FALSE),'UT2'!$AC$70="Forcée",'UT2'!$X$70&lt;&gt;"",'UT2'!$AA$70&lt;&gt;""),"UT2","")</f>
        <v/>
      </c>
      <c r="C214" s="148" t="str">
        <f>IF(OR(IFERROR('UT2'!$W$70&gt;=$B$3,FALSE),'UT2'!$AC$70="Forcée",'UT2'!$X$70&lt;&gt;"",'UT2'!$AA$70&lt;&gt;""),'UT2'!$A$70,"")</f>
        <v/>
      </c>
      <c r="D214" s="148" t="str">
        <f>IF(OR(IFERROR('UT2'!$W$70&gt;=$B$3,FALSE),'UT2'!$AC$70="Forcée",'UT2'!$X$70&lt;&gt;"",'UT2'!$AA$70&lt;&gt;""),'UT2'!$B$70,"")</f>
        <v/>
      </c>
      <c r="E214" s="148" t="str">
        <f>IF(OR(IFERROR('UT2'!$W$70&gt;=$B$3,FALSE),'UT2'!$AC$70="Forcée",'UT2'!$X$70&lt;&gt;"",'UT2'!$AA$70&lt;&gt;""),'UT2'!$C$70,"")</f>
        <v/>
      </c>
      <c r="F214" s="148" t="str">
        <f>IF(OR(IFERROR('UT2'!$W$70&gt;=$B$3,FALSE),'UT2'!$AC$70="Forcée",'UT2'!$X$70&lt;&gt;"",'UT2'!$AA$70&lt;&gt;""),'UT2'!$D$70,"")</f>
        <v/>
      </c>
      <c r="G214" s="148" t="str">
        <f>IF(OR(IFERROR('UT2'!$W$70&gt;=$B$3,FALSE),'UT2'!$AC$70="Forcée",'UT2'!$X$70&lt;&gt;"",'UT2'!$AA$70&lt;&gt;""),'UT2'!$E$70,"")</f>
        <v/>
      </c>
      <c r="H214" s="148" t="str">
        <f>IF(OR(IFERROR('UT2'!$W$70&gt;=$B$3,FALSE),'UT2'!$AC$70="Forcée",'UT2'!$X$70&lt;&gt;"",'UT2'!$AA$70&lt;&gt;""),'UT2'!$H$70,"")</f>
        <v/>
      </c>
      <c r="I214" s="148" t="str">
        <f>IF(OR(IFERROR('UT2'!$W$70&gt;=$B$3,FALSE),'UT2'!$AC$70="Forcée",'UT2'!$X$70&lt;&gt;"",'UT2'!$AA$70&lt;&gt;""),'UT2'!$W$70,"")</f>
        <v/>
      </c>
      <c r="J214" s="148" t="str">
        <f t="shared" si="6"/>
        <v/>
      </c>
      <c r="K214" s="148" t="str">
        <f>IF(A214="","",IF('UT2'!$AC$70="Forcée","Forcée",IF('UT2'!$AC$70="Exclue","Exclue","Automatique")))</f>
        <v/>
      </c>
      <c r="L214" s="148" t="str">
        <f>IF(A214="","",IF('UT2'!$AC$70="Exclue","Exclu",IF('UT2'!$W$70&gt;=$B$3,"Actif - risque significatif",IF(AND('UT2'!$W$70&lt;$B$3,'UT2'!$AD$70="Oui"),"Maîtrisé / clôturable","Maîtrisé - à vérifier"))))</f>
        <v/>
      </c>
      <c r="M214" s="148" t="str">
        <f>IF(A214="","",IF('UT2'!$W$70&gt;=16,"P1 - Critique",IF('UT2'!$W$70&gt;=13,"P2 - Haute",IF('UT2'!$W$70&gt;=9,"P3 - Moyenne","P4 - Basse"))))</f>
        <v/>
      </c>
      <c r="N214" s="148"/>
      <c r="O214" s="148" t="str">
        <f>IF(A214="","",'UT2'!$X$70)</f>
        <v/>
      </c>
      <c r="P214" s="148"/>
      <c r="Q214" s="148"/>
      <c r="R214" s="148" t="str">
        <f>IF(A214="","",'UT2'!$Z$70)</f>
        <v/>
      </c>
      <c r="S214" s="148"/>
      <c r="T214" s="148"/>
      <c r="U214" s="149"/>
      <c r="V214" s="150"/>
      <c r="W214" s="150" t="str">
        <f>IF(A214="","",'UT2'!$Y$70)</f>
        <v/>
      </c>
      <c r="X214" s="148"/>
      <c r="Y214" s="148"/>
      <c r="Z214" s="148"/>
      <c r="AA214" s="148"/>
      <c r="AB214" s="148" t="str">
        <f>IF(A214="","",'UT2'!$AA$70)</f>
        <v/>
      </c>
      <c r="AC214" s="148" t="str">
        <f>IF(A214="","",'UT2'!$AD$70)</f>
        <v/>
      </c>
      <c r="AD214" s="150" t="str">
        <f>IF(A214="","",'UT2'!$AE$70)</f>
        <v/>
      </c>
      <c r="AE214" s="148"/>
      <c r="AF214" s="148"/>
      <c r="AG214" s="148" t="str">
        <f>IF(A214="","",'UT2'!$AF$70)</f>
        <v/>
      </c>
      <c r="AH214" s="151" t="str">
        <f t="shared" si="7"/>
        <v/>
      </c>
    </row>
    <row r="215" spans="1:34">
      <c r="A215" s="148" t="str">
        <f>IF(OR(IFERROR('UT2'!$W$71&gt;=$B$3,FALSE),'UT2'!$AC$71="Forcée",'UT2'!$X$71&lt;&gt;"",'UT2'!$AA$71&lt;&gt;""),"UT2-71","")</f>
        <v/>
      </c>
      <c r="B215" s="148" t="str">
        <f>IF(OR(IFERROR('UT2'!$W$71&gt;=$B$3,FALSE),'UT2'!$AC$71="Forcée",'UT2'!$X$71&lt;&gt;"",'UT2'!$AA$71&lt;&gt;""),"UT2","")</f>
        <v/>
      </c>
      <c r="C215" s="148" t="str">
        <f>IF(OR(IFERROR('UT2'!$W$71&gt;=$B$3,FALSE),'UT2'!$AC$71="Forcée",'UT2'!$X$71&lt;&gt;"",'UT2'!$AA$71&lt;&gt;""),'UT2'!$A$71,"")</f>
        <v/>
      </c>
      <c r="D215" s="148" t="str">
        <f>IF(OR(IFERROR('UT2'!$W$71&gt;=$B$3,FALSE),'UT2'!$AC$71="Forcée",'UT2'!$X$71&lt;&gt;"",'UT2'!$AA$71&lt;&gt;""),'UT2'!$B$71,"")</f>
        <v/>
      </c>
      <c r="E215" s="148" t="str">
        <f>IF(OR(IFERROR('UT2'!$W$71&gt;=$B$3,FALSE),'UT2'!$AC$71="Forcée",'UT2'!$X$71&lt;&gt;"",'UT2'!$AA$71&lt;&gt;""),'UT2'!$C$71,"")</f>
        <v/>
      </c>
      <c r="F215" s="148" t="str">
        <f>IF(OR(IFERROR('UT2'!$W$71&gt;=$B$3,FALSE),'UT2'!$AC$71="Forcée",'UT2'!$X$71&lt;&gt;"",'UT2'!$AA$71&lt;&gt;""),'UT2'!$D$71,"")</f>
        <v/>
      </c>
      <c r="G215" s="148" t="str">
        <f>IF(OR(IFERROR('UT2'!$W$71&gt;=$B$3,FALSE),'UT2'!$AC$71="Forcée",'UT2'!$X$71&lt;&gt;"",'UT2'!$AA$71&lt;&gt;""),'UT2'!$E$71,"")</f>
        <v/>
      </c>
      <c r="H215" s="148" t="str">
        <f>IF(OR(IFERROR('UT2'!$W$71&gt;=$B$3,FALSE),'UT2'!$AC$71="Forcée",'UT2'!$X$71&lt;&gt;"",'UT2'!$AA$71&lt;&gt;""),'UT2'!$H$71,"")</f>
        <v/>
      </c>
      <c r="I215" s="148" t="str">
        <f>IF(OR(IFERROR('UT2'!$W$71&gt;=$B$3,FALSE),'UT2'!$AC$71="Forcée",'UT2'!$X$71&lt;&gt;"",'UT2'!$AA$71&lt;&gt;""),'UT2'!$W$71,"")</f>
        <v/>
      </c>
      <c r="J215" s="148" t="str">
        <f t="shared" si="6"/>
        <v/>
      </c>
      <c r="K215" s="148" t="str">
        <f>IF(A215="","",IF('UT2'!$AC$71="Forcée","Forcée",IF('UT2'!$AC$71="Exclue","Exclue","Automatique")))</f>
        <v/>
      </c>
      <c r="L215" s="148" t="str">
        <f>IF(A215="","",IF('UT2'!$AC$71="Exclue","Exclu",IF('UT2'!$W$71&gt;=$B$3,"Actif - risque significatif",IF(AND('UT2'!$W$71&lt;$B$3,'UT2'!$AD$71="Oui"),"Maîtrisé / clôturable","Maîtrisé - à vérifier"))))</f>
        <v/>
      </c>
      <c r="M215" s="148" t="str">
        <f>IF(A215="","",IF('UT2'!$W$71&gt;=16,"P1 - Critique",IF('UT2'!$W$71&gt;=13,"P2 - Haute",IF('UT2'!$W$71&gt;=9,"P3 - Moyenne","P4 - Basse"))))</f>
        <v/>
      </c>
      <c r="N215" s="148"/>
      <c r="O215" s="148" t="str">
        <f>IF(A215="","",'UT2'!$X$71)</f>
        <v/>
      </c>
      <c r="P215" s="148"/>
      <c r="Q215" s="148"/>
      <c r="R215" s="148" t="str">
        <f>IF(A215="","",'UT2'!$Z$71)</f>
        <v/>
      </c>
      <c r="S215" s="148"/>
      <c r="T215" s="148"/>
      <c r="U215" s="149"/>
      <c r="V215" s="150"/>
      <c r="W215" s="150" t="str">
        <f>IF(A215="","",'UT2'!$Y$71)</f>
        <v/>
      </c>
      <c r="X215" s="148"/>
      <c r="Y215" s="148"/>
      <c r="Z215" s="148"/>
      <c r="AA215" s="148"/>
      <c r="AB215" s="148" t="str">
        <f>IF(A215="","",'UT2'!$AA$71)</f>
        <v/>
      </c>
      <c r="AC215" s="148" t="str">
        <f>IF(A215="","",'UT2'!$AD$71)</f>
        <v/>
      </c>
      <c r="AD215" s="150" t="str">
        <f>IF(A215="","",'UT2'!$AE$71)</f>
        <v/>
      </c>
      <c r="AE215" s="148"/>
      <c r="AF215" s="148"/>
      <c r="AG215" s="148" t="str">
        <f>IF(A215="","",'UT2'!$AF$71)</f>
        <v/>
      </c>
      <c r="AH215" s="151" t="str">
        <f t="shared" si="7"/>
        <v/>
      </c>
    </row>
    <row r="216" spans="1:34">
      <c r="A216" s="148" t="str">
        <f>IF(OR(IFERROR('UT2'!$W$72&gt;=$B$3,FALSE),'UT2'!$AC$72="Forcée",'UT2'!$X$72&lt;&gt;"",'UT2'!$AA$72&lt;&gt;""),"UT2-72","")</f>
        <v/>
      </c>
      <c r="B216" s="148" t="str">
        <f>IF(OR(IFERROR('UT2'!$W$72&gt;=$B$3,FALSE),'UT2'!$AC$72="Forcée",'UT2'!$X$72&lt;&gt;"",'UT2'!$AA$72&lt;&gt;""),"UT2","")</f>
        <v/>
      </c>
      <c r="C216" s="148" t="str">
        <f>IF(OR(IFERROR('UT2'!$W$72&gt;=$B$3,FALSE),'UT2'!$AC$72="Forcée",'UT2'!$X$72&lt;&gt;"",'UT2'!$AA$72&lt;&gt;""),'UT2'!$A$72,"")</f>
        <v/>
      </c>
      <c r="D216" s="148" t="str">
        <f>IF(OR(IFERROR('UT2'!$W$72&gt;=$B$3,FALSE),'UT2'!$AC$72="Forcée",'UT2'!$X$72&lt;&gt;"",'UT2'!$AA$72&lt;&gt;""),'UT2'!$B$72,"")</f>
        <v/>
      </c>
      <c r="E216" s="148" t="str">
        <f>IF(OR(IFERROR('UT2'!$W$72&gt;=$B$3,FALSE),'UT2'!$AC$72="Forcée",'UT2'!$X$72&lt;&gt;"",'UT2'!$AA$72&lt;&gt;""),'UT2'!$C$72,"")</f>
        <v/>
      </c>
      <c r="F216" s="148" t="str">
        <f>IF(OR(IFERROR('UT2'!$W$72&gt;=$B$3,FALSE),'UT2'!$AC$72="Forcée",'UT2'!$X$72&lt;&gt;"",'UT2'!$AA$72&lt;&gt;""),'UT2'!$D$72,"")</f>
        <v/>
      </c>
      <c r="G216" s="148" t="str">
        <f>IF(OR(IFERROR('UT2'!$W$72&gt;=$B$3,FALSE),'UT2'!$AC$72="Forcée",'UT2'!$X$72&lt;&gt;"",'UT2'!$AA$72&lt;&gt;""),'UT2'!$E$72,"")</f>
        <v/>
      </c>
      <c r="H216" s="148" t="str">
        <f>IF(OR(IFERROR('UT2'!$W$72&gt;=$B$3,FALSE),'UT2'!$AC$72="Forcée",'UT2'!$X$72&lt;&gt;"",'UT2'!$AA$72&lt;&gt;""),'UT2'!$H$72,"")</f>
        <v/>
      </c>
      <c r="I216" s="148" t="str">
        <f>IF(OR(IFERROR('UT2'!$W$72&gt;=$B$3,FALSE),'UT2'!$AC$72="Forcée",'UT2'!$X$72&lt;&gt;"",'UT2'!$AA$72&lt;&gt;""),'UT2'!$W$72,"")</f>
        <v/>
      </c>
      <c r="J216" s="148" t="str">
        <f t="shared" si="6"/>
        <v/>
      </c>
      <c r="K216" s="148" t="str">
        <f>IF(A216="","",IF('UT2'!$AC$72="Forcée","Forcée",IF('UT2'!$AC$72="Exclue","Exclue","Automatique")))</f>
        <v/>
      </c>
      <c r="L216" s="148" t="str">
        <f>IF(A216="","",IF('UT2'!$AC$72="Exclue","Exclu",IF('UT2'!$W$72&gt;=$B$3,"Actif - risque significatif",IF(AND('UT2'!$W$72&lt;$B$3,'UT2'!$AD$72="Oui"),"Maîtrisé / clôturable","Maîtrisé - à vérifier"))))</f>
        <v/>
      </c>
      <c r="M216" s="148" t="str">
        <f>IF(A216="","",IF('UT2'!$W$72&gt;=16,"P1 - Critique",IF('UT2'!$W$72&gt;=13,"P2 - Haute",IF('UT2'!$W$72&gt;=9,"P3 - Moyenne","P4 - Basse"))))</f>
        <v/>
      </c>
      <c r="N216" s="148"/>
      <c r="O216" s="148" t="str">
        <f>IF(A216="","",'UT2'!$X$72)</f>
        <v/>
      </c>
      <c r="P216" s="148"/>
      <c r="Q216" s="148"/>
      <c r="R216" s="148" t="str">
        <f>IF(A216="","",'UT2'!$Z$72)</f>
        <v/>
      </c>
      <c r="S216" s="148"/>
      <c r="T216" s="148"/>
      <c r="U216" s="149"/>
      <c r="V216" s="150"/>
      <c r="W216" s="150" t="str">
        <f>IF(A216="","",'UT2'!$Y$72)</f>
        <v/>
      </c>
      <c r="X216" s="148"/>
      <c r="Y216" s="148"/>
      <c r="Z216" s="148"/>
      <c r="AA216" s="148"/>
      <c r="AB216" s="148" t="str">
        <f>IF(A216="","",'UT2'!$AA$72)</f>
        <v/>
      </c>
      <c r="AC216" s="148" t="str">
        <f>IF(A216="","",'UT2'!$AD$72)</f>
        <v/>
      </c>
      <c r="AD216" s="150" t="str">
        <f>IF(A216="","",'UT2'!$AE$72)</f>
        <v/>
      </c>
      <c r="AE216" s="148"/>
      <c r="AF216" s="148"/>
      <c r="AG216" s="148" t="str">
        <f>IF(A216="","",'UT2'!$AF$72)</f>
        <v/>
      </c>
      <c r="AH216" s="151" t="str">
        <f t="shared" si="7"/>
        <v/>
      </c>
    </row>
    <row r="217" spans="1:34">
      <c r="A217" s="148" t="str">
        <f>IF(OR(IFERROR('UT2'!$W$73&gt;=$B$3,FALSE),'UT2'!$AC$73="Forcée",'UT2'!$X$73&lt;&gt;"",'UT2'!$AA$73&lt;&gt;""),"UT2-73","")</f>
        <v/>
      </c>
      <c r="B217" s="148" t="str">
        <f>IF(OR(IFERROR('UT2'!$W$73&gt;=$B$3,FALSE),'UT2'!$AC$73="Forcée",'UT2'!$X$73&lt;&gt;"",'UT2'!$AA$73&lt;&gt;""),"UT2","")</f>
        <v/>
      </c>
      <c r="C217" s="148" t="str">
        <f>IF(OR(IFERROR('UT2'!$W$73&gt;=$B$3,FALSE),'UT2'!$AC$73="Forcée",'UT2'!$X$73&lt;&gt;"",'UT2'!$AA$73&lt;&gt;""),'UT2'!$A$73,"")</f>
        <v/>
      </c>
      <c r="D217" s="148" t="str">
        <f>IF(OR(IFERROR('UT2'!$W$73&gt;=$B$3,FALSE),'UT2'!$AC$73="Forcée",'UT2'!$X$73&lt;&gt;"",'UT2'!$AA$73&lt;&gt;""),'UT2'!$B$73,"")</f>
        <v/>
      </c>
      <c r="E217" s="148" t="str">
        <f>IF(OR(IFERROR('UT2'!$W$73&gt;=$B$3,FALSE),'UT2'!$AC$73="Forcée",'UT2'!$X$73&lt;&gt;"",'UT2'!$AA$73&lt;&gt;""),'UT2'!$C$73,"")</f>
        <v/>
      </c>
      <c r="F217" s="148" t="str">
        <f>IF(OR(IFERROR('UT2'!$W$73&gt;=$B$3,FALSE),'UT2'!$AC$73="Forcée",'UT2'!$X$73&lt;&gt;"",'UT2'!$AA$73&lt;&gt;""),'UT2'!$D$73,"")</f>
        <v/>
      </c>
      <c r="G217" s="148" t="str">
        <f>IF(OR(IFERROR('UT2'!$W$73&gt;=$B$3,FALSE),'UT2'!$AC$73="Forcée",'UT2'!$X$73&lt;&gt;"",'UT2'!$AA$73&lt;&gt;""),'UT2'!$E$73,"")</f>
        <v/>
      </c>
      <c r="H217" s="148" t="str">
        <f>IF(OR(IFERROR('UT2'!$W$73&gt;=$B$3,FALSE),'UT2'!$AC$73="Forcée",'UT2'!$X$73&lt;&gt;"",'UT2'!$AA$73&lt;&gt;""),'UT2'!$H$73,"")</f>
        <v/>
      </c>
      <c r="I217" s="148" t="str">
        <f>IF(OR(IFERROR('UT2'!$W$73&gt;=$B$3,FALSE),'UT2'!$AC$73="Forcée",'UT2'!$X$73&lt;&gt;"",'UT2'!$AA$73&lt;&gt;""),'UT2'!$W$73,"")</f>
        <v/>
      </c>
      <c r="J217" s="148" t="str">
        <f t="shared" si="6"/>
        <v/>
      </c>
      <c r="K217" s="148" t="str">
        <f>IF(A217="","",IF('UT2'!$AC$73="Forcée","Forcée",IF('UT2'!$AC$73="Exclue","Exclue","Automatique")))</f>
        <v/>
      </c>
      <c r="L217" s="148" t="str">
        <f>IF(A217="","",IF('UT2'!$AC$73="Exclue","Exclu",IF('UT2'!$W$73&gt;=$B$3,"Actif - risque significatif",IF(AND('UT2'!$W$73&lt;$B$3,'UT2'!$AD$73="Oui"),"Maîtrisé / clôturable","Maîtrisé - à vérifier"))))</f>
        <v/>
      </c>
      <c r="M217" s="148" t="str">
        <f>IF(A217="","",IF('UT2'!$W$73&gt;=16,"P1 - Critique",IF('UT2'!$W$73&gt;=13,"P2 - Haute",IF('UT2'!$W$73&gt;=9,"P3 - Moyenne","P4 - Basse"))))</f>
        <v/>
      </c>
      <c r="N217" s="148"/>
      <c r="O217" s="148" t="str">
        <f>IF(A217="","",'UT2'!$X$73)</f>
        <v/>
      </c>
      <c r="P217" s="148"/>
      <c r="Q217" s="148"/>
      <c r="R217" s="148" t="str">
        <f>IF(A217="","",'UT2'!$Z$73)</f>
        <v/>
      </c>
      <c r="S217" s="148"/>
      <c r="T217" s="148"/>
      <c r="U217" s="149"/>
      <c r="V217" s="150"/>
      <c r="W217" s="150" t="str">
        <f>IF(A217="","",'UT2'!$Y$73)</f>
        <v/>
      </c>
      <c r="X217" s="148"/>
      <c r="Y217" s="148"/>
      <c r="Z217" s="148"/>
      <c r="AA217" s="148"/>
      <c r="AB217" s="148" t="str">
        <f>IF(A217="","",'UT2'!$AA$73)</f>
        <v/>
      </c>
      <c r="AC217" s="148" t="str">
        <f>IF(A217="","",'UT2'!$AD$73)</f>
        <v/>
      </c>
      <c r="AD217" s="150" t="str">
        <f>IF(A217="","",'UT2'!$AE$73)</f>
        <v/>
      </c>
      <c r="AE217" s="148"/>
      <c r="AF217" s="148"/>
      <c r="AG217" s="148" t="str">
        <f>IF(A217="","",'UT2'!$AF$73)</f>
        <v/>
      </c>
      <c r="AH217" s="151" t="str">
        <f t="shared" si="7"/>
        <v/>
      </c>
    </row>
    <row r="218" spans="1:34">
      <c r="A218" s="148" t="str">
        <f>IF(OR(IFERROR('UT2'!$W$74&gt;=$B$3,FALSE),'UT2'!$AC$74="Forcée",'UT2'!$X$74&lt;&gt;"",'UT2'!$AA$74&lt;&gt;""),"UT2-74","")</f>
        <v/>
      </c>
      <c r="B218" s="148" t="str">
        <f>IF(OR(IFERROR('UT2'!$W$74&gt;=$B$3,FALSE),'UT2'!$AC$74="Forcée",'UT2'!$X$74&lt;&gt;"",'UT2'!$AA$74&lt;&gt;""),"UT2","")</f>
        <v/>
      </c>
      <c r="C218" s="148" t="str">
        <f>IF(OR(IFERROR('UT2'!$W$74&gt;=$B$3,FALSE),'UT2'!$AC$74="Forcée",'UT2'!$X$74&lt;&gt;"",'UT2'!$AA$74&lt;&gt;""),'UT2'!$A$74,"")</f>
        <v/>
      </c>
      <c r="D218" s="148" t="str">
        <f>IF(OR(IFERROR('UT2'!$W$74&gt;=$B$3,FALSE),'UT2'!$AC$74="Forcée",'UT2'!$X$74&lt;&gt;"",'UT2'!$AA$74&lt;&gt;""),'UT2'!$B$74,"")</f>
        <v/>
      </c>
      <c r="E218" s="148" t="str">
        <f>IF(OR(IFERROR('UT2'!$W$74&gt;=$B$3,FALSE),'UT2'!$AC$74="Forcée",'UT2'!$X$74&lt;&gt;"",'UT2'!$AA$74&lt;&gt;""),'UT2'!$C$74,"")</f>
        <v/>
      </c>
      <c r="F218" s="148" t="str">
        <f>IF(OR(IFERROR('UT2'!$W$74&gt;=$B$3,FALSE),'UT2'!$AC$74="Forcée",'UT2'!$X$74&lt;&gt;"",'UT2'!$AA$74&lt;&gt;""),'UT2'!$D$74,"")</f>
        <v/>
      </c>
      <c r="G218" s="148" t="str">
        <f>IF(OR(IFERROR('UT2'!$W$74&gt;=$B$3,FALSE),'UT2'!$AC$74="Forcée",'UT2'!$X$74&lt;&gt;"",'UT2'!$AA$74&lt;&gt;""),'UT2'!$E$74,"")</f>
        <v/>
      </c>
      <c r="H218" s="148" t="str">
        <f>IF(OR(IFERROR('UT2'!$W$74&gt;=$B$3,FALSE),'UT2'!$AC$74="Forcée",'UT2'!$X$74&lt;&gt;"",'UT2'!$AA$74&lt;&gt;""),'UT2'!$H$74,"")</f>
        <v/>
      </c>
      <c r="I218" s="148" t="str">
        <f>IF(OR(IFERROR('UT2'!$W$74&gt;=$B$3,FALSE),'UT2'!$AC$74="Forcée",'UT2'!$X$74&lt;&gt;"",'UT2'!$AA$74&lt;&gt;""),'UT2'!$W$74,"")</f>
        <v/>
      </c>
      <c r="J218" s="148" t="str">
        <f t="shared" si="6"/>
        <v/>
      </c>
      <c r="K218" s="148" t="str">
        <f>IF(A218="","",IF('UT2'!$AC$74="Forcée","Forcée",IF('UT2'!$AC$74="Exclue","Exclue","Automatique")))</f>
        <v/>
      </c>
      <c r="L218" s="148" t="str">
        <f>IF(A218="","",IF('UT2'!$AC$74="Exclue","Exclu",IF('UT2'!$W$74&gt;=$B$3,"Actif - risque significatif",IF(AND('UT2'!$W$74&lt;$B$3,'UT2'!$AD$74="Oui"),"Maîtrisé / clôturable","Maîtrisé - à vérifier"))))</f>
        <v/>
      </c>
      <c r="M218" s="148" t="str">
        <f>IF(A218="","",IF('UT2'!$W$74&gt;=16,"P1 - Critique",IF('UT2'!$W$74&gt;=13,"P2 - Haute",IF('UT2'!$W$74&gt;=9,"P3 - Moyenne","P4 - Basse"))))</f>
        <v/>
      </c>
      <c r="N218" s="148"/>
      <c r="O218" s="148" t="str">
        <f>IF(A218="","",'UT2'!$X$74)</f>
        <v/>
      </c>
      <c r="P218" s="148"/>
      <c r="Q218" s="148"/>
      <c r="R218" s="148" t="str">
        <f>IF(A218="","",'UT2'!$Z$74)</f>
        <v/>
      </c>
      <c r="S218" s="148"/>
      <c r="T218" s="148"/>
      <c r="U218" s="149"/>
      <c r="V218" s="150"/>
      <c r="W218" s="150" t="str">
        <f>IF(A218="","",'UT2'!$Y$74)</f>
        <v/>
      </c>
      <c r="X218" s="148"/>
      <c r="Y218" s="148"/>
      <c r="Z218" s="148"/>
      <c r="AA218" s="148"/>
      <c r="AB218" s="148" t="str">
        <f>IF(A218="","",'UT2'!$AA$74)</f>
        <v/>
      </c>
      <c r="AC218" s="148" t="str">
        <f>IF(A218="","",'UT2'!$AD$74)</f>
        <v/>
      </c>
      <c r="AD218" s="150" t="str">
        <f>IF(A218="","",'UT2'!$AE$74)</f>
        <v/>
      </c>
      <c r="AE218" s="148"/>
      <c r="AF218" s="148"/>
      <c r="AG218" s="148" t="str">
        <f>IF(A218="","",'UT2'!$AF$74)</f>
        <v/>
      </c>
      <c r="AH218" s="151" t="str">
        <f t="shared" si="7"/>
        <v/>
      </c>
    </row>
    <row r="219" spans="1:34">
      <c r="A219" s="148" t="str">
        <f>IF(OR(IFERROR('UT2'!$W$75&gt;=$B$3,FALSE),'UT2'!$AC$75="Forcée",'UT2'!$X$75&lt;&gt;"",'UT2'!$AA$75&lt;&gt;""),"UT2-75","")</f>
        <v/>
      </c>
      <c r="B219" s="148" t="str">
        <f>IF(OR(IFERROR('UT2'!$W$75&gt;=$B$3,FALSE),'UT2'!$AC$75="Forcée",'UT2'!$X$75&lt;&gt;"",'UT2'!$AA$75&lt;&gt;""),"UT2","")</f>
        <v/>
      </c>
      <c r="C219" s="148" t="str">
        <f>IF(OR(IFERROR('UT2'!$W$75&gt;=$B$3,FALSE),'UT2'!$AC$75="Forcée",'UT2'!$X$75&lt;&gt;"",'UT2'!$AA$75&lt;&gt;""),'UT2'!$A$75,"")</f>
        <v/>
      </c>
      <c r="D219" s="148" t="str">
        <f>IF(OR(IFERROR('UT2'!$W$75&gt;=$B$3,FALSE),'UT2'!$AC$75="Forcée",'UT2'!$X$75&lt;&gt;"",'UT2'!$AA$75&lt;&gt;""),'UT2'!$B$75,"")</f>
        <v/>
      </c>
      <c r="E219" s="148" t="str">
        <f>IF(OR(IFERROR('UT2'!$W$75&gt;=$B$3,FALSE),'UT2'!$AC$75="Forcée",'UT2'!$X$75&lt;&gt;"",'UT2'!$AA$75&lt;&gt;""),'UT2'!$C$75,"")</f>
        <v/>
      </c>
      <c r="F219" s="148" t="str">
        <f>IF(OR(IFERROR('UT2'!$W$75&gt;=$B$3,FALSE),'UT2'!$AC$75="Forcée",'UT2'!$X$75&lt;&gt;"",'UT2'!$AA$75&lt;&gt;""),'UT2'!$D$75,"")</f>
        <v/>
      </c>
      <c r="G219" s="148" t="str">
        <f>IF(OR(IFERROR('UT2'!$W$75&gt;=$B$3,FALSE),'UT2'!$AC$75="Forcée",'UT2'!$X$75&lt;&gt;"",'UT2'!$AA$75&lt;&gt;""),'UT2'!$E$75,"")</f>
        <v/>
      </c>
      <c r="H219" s="148" t="str">
        <f>IF(OR(IFERROR('UT2'!$W$75&gt;=$B$3,FALSE),'UT2'!$AC$75="Forcée",'UT2'!$X$75&lt;&gt;"",'UT2'!$AA$75&lt;&gt;""),'UT2'!$H$75,"")</f>
        <v/>
      </c>
      <c r="I219" s="148" t="str">
        <f>IF(OR(IFERROR('UT2'!$W$75&gt;=$B$3,FALSE),'UT2'!$AC$75="Forcée",'UT2'!$X$75&lt;&gt;"",'UT2'!$AA$75&lt;&gt;""),'UT2'!$W$75,"")</f>
        <v/>
      </c>
      <c r="J219" s="148" t="str">
        <f t="shared" si="6"/>
        <v/>
      </c>
      <c r="K219" s="148" t="str">
        <f>IF(A219="","",IF('UT2'!$AC$75="Forcée","Forcée",IF('UT2'!$AC$75="Exclue","Exclue","Automatique")))</f>
        <v/>
      </c>
      <c r="L219" s="148" t="str">
        <f>IF(A219="","",IF('UT2'!$AC$75="Exclue","Exclu",IF('UT2'!$W$75&gt;=$B$3,"Actif - risque significatif",IF(AND('UT2'!$W$75&lt;$B$3,'UT2'!$AD$75="Oui"),"Maîtrisé / clôturable","Maîtrisé - à vérifier"))))</f>
        <v/>
      </c>
      <c r="M219" s="148" t="str">
        <f>IF(A219="","",IF('UT2'!$W$75&gt;=16,"P1 - Critique",IF('UT2'!$W$75&gt;=13,"P2 - Haute",IF('UT2'!$W$75&gt;=9,"P3 - Moyenne","P4 - Basse"))))</f>
        <v/>
      </c>
      <c r="N219" s="148"/>
      <c r="O219" s="148" t="str">
        <f>IF(A219="","",'UT2'!$X$75)</f>
        <v/>
      </c>
      <c r="P219" s="148"/>
      <c r="Q219" s="148"/>
      <c r="R219" s="148" t="str">
        <f>IF(A219="","",'UT2'!$Z$75)</f>
        <v/>
      </c>
      <c r="S219" s="148"/>
      <c r="T219" s="148"/>
      <c r="U219" s="149"/>
      <c r="V219" s="150"/>
      <c r="W219" s="150" t="str">
        <f>IF(A219="","",'UT2'!$Y$75)</f>
        <v/>
      </c>
      <c r="X219" s="148"/>
      <c r="Y219" s="148"/>
      <c r="Z219" s="148"/>
      <c r="AA219" s="148"/>
      <c r="AB219" s="148" t="str">
        <f>IF(A219="","",'UT2'!$AA$75)</f>
        <v/>
      </c>
      <c r="AC219" s="148" t="str">
        <f>IF(A219="","",'UT2'!$AD$75)</f>
        <v/>
      </c>
      <c r="AD219" s="150" t="str">
        <f>IF(A219="","",'UT2'!$AE$75)</f>
        <v/>
      </c>
      <c r="AE219" s="148"/>
      <c r="AF219" s="148"/>
      <c r="AG219" s="148" t="str">
        <f>IF(A219="","",'UT2'!$AF$75)</f>
        <v/>
      </c>
      <c r="AH219" s="151" t="str">
        <f t="shared" si="7"/>
        <v/>
      </c>
    </row>
    <row r="220" spans="1:34">
      <c r="A220" s="148" t="str">
        <f>IF(OR(IFERROR('UT2'!$W$76&gt;=$B$3,FALSE),'UT2'!$AC$76="Forcée",'UT2'!$X$76&lt;&gt;"",'UT2'!$AA$76&lt;&gt;""),"UT2-76","")</f>
        <v/>
      </c>
      <c r="B220" s="148" t="str">
        <f>IF(OR(IFERROR('UT2'!$W$76&gt;=$B$3,FALSE),'UT2'!$AC$76="Forcée",'UT2'!$X$76&lt;&gt;"",'UT2'!$AA$76&lt;&gt;""),"UT2","")</f>
        <v/>
      </c>
      <c r="C220" s="148" t="str">
        <f>IF(OR(IFERROR('UT2'!$W$76&gt;=$B$3,FALSE),'UT2'!$AC$76="Forcée",'UT2'!$X$76&lt;&gt;"",'UT2'!$AA$76&lt;&gt;""),'UT2'!$A$76,"")</f>
        <v/>
      </c>
      <c r="D220" s="148" t="str">
        <f>IF(OR(IFERROR('UT2'!$W$76&gt;=$B$3,FALSE),'UT2'!$AC$76="Forcée",'UT2'!$X$76&lt;&gt;"",'UT2'!$AA$76&lt;&gt;""),'UT2'!$B$76,"")</f>
        <v/>
      </c>
      <c r="E220" s="148" t="str">
        <f>IF(OR(IFERROR('UT2'!$W$76&gt;=$B$3,FALSE),'UT2'!$AC$76="Forcée",'UT2'!$X$76&lt;&gt;"",'UT2'!$AA$76&lt;&gt;""),'UT2'!$C$76,"")</f>
        <v/>
      </c>
      <c r="F220" s="148" t="str">
        <f>IF(OR(IFERROR('UT2'!$W$76&gt;=$B$3,FALSE),'UT2'!$AC$76="Forcée",'UT2'!$X$76&lt;&gt;"",'UT2'!$AA$76&lt;&gt;""),'UT2'!$D$76,"")</f>
        <v/>
      </c>
      <c r="G220" s="148" t="str">
        <f>IF(OR(IFERROR('UT2'!$W$76&gt;=$B$3,FALSE),'UT2'!$AC$76="Forcée",'UT2'!$X$76&lt;&gt;"",'UT2'!$AA$76&lt;&gt;""),'UT2'!$E$76,"")</f>
        <v/>
      </c>
      <c r="H220" s="148" t="str">
        <f>IF(OR(IFERROR('UT2'!$W$76&gt;=$B$3,FALSE),'UT2'!$AC$76="Forcée",'UT2'!$X$76&lt;&gt;"",'UT2'!$AA$76&lt;&gt;""),'UT2'!$H$76,"")</f>
        <v/>
      </c>
      <c r="I220" s="148" t="str">
        <f>IF(OR(IFERROR('UT2'!$W$76&gt;=$B$3,FALSE),'UT2'!$AC$76="Forcée",'UT2'!$X$76&lt;&gt;"",'UT2'!$AA$76&lt;&gt;""),'UT2'!$W$76,"")</f>
        <v/>
      </c>
      <c r="J220" s="148" t="str">
        <f t="shared" si="6"/>
        <v/>
      </c>
      <c r="K220" s="148" t="str">
        <f>IF(A220="","",IF('UT2'!$AC$76="Forcée","Forcée",IF('UT2'!$AC$76="Exclue","Exclue","Automatique")))</f>
        <v/>
      </c>
      <c r="L220" s="148" t="str">
        <f>IF(A220="","",IF('UT2'!$AC$76="Exclue","Exclu",IF('UT2'!$W$76&gt;=$B$3,"Actif - risque significatif",IF(AND('UT2'!$W$76&lt;$B$3,'UT2'!$AD$76="Oui"),"Maîtrisé / clôturable","Maîtrisé - à vérifier"))))</f>
        <v/>
      </c>
      <c r="M220" s="148" t="str">
        <f>IF(A220="","",IF('UT2'!$W$76&gt;=16,"P1 - Critique",IF('UT2'!$W$76&gt;=13,"P2 - Haute",IF('UT2'!$W$76&gt;=9,"P3 - Moyenne","P4 - Basse"))))</f>
        <v/>
      </c>
      <c r="N220" s="148"/>
      <c r="O220" s="148" t="str">
        <f>IF(A220="","",'UT2'!$X$76)</f>
        <v/>
      </c>
      <c r="P220" s="148"/>
      <c r="Q220" s="148"/>
      <c r="R220" s="148" t="str">
        <f>IF(A220="","",'UT2'!$Z$76)</f>
        <v/>
      </c>
      <c r="S220" s="148"/>
      <c r="T220" s="148"/>
      <c r="U220" s="149"/>
      <c r="V220" s="150"/>
      <c r="W220" s="150" t="str">
        <f>IF(A220="","",'UT2'!$Y$76)</f>
        <v/>
      </c>
      <c r="X220" s="148"/>
      <c r="Y220" s="148"/>
      <c r="Z220" s="148"/>
      <c r="AA220" s="148"/>
      <c r="AB220" s="148" t="str">
        <f>IF(A220="","",'UT2'!$AA$76)</f>
        <v/>
      </c>
      <c r="AC220" s="148" t="str">
        <f>IF(A220="","",'UT2'!$AD$76)</f>
        <v/>
      </c>
      <c r="AD220" s="150" t="str">
        <f>IF(A220="","",'UT2'!$AE$76)</f>
        <v/>
      </c>
      <c r="AE220" s="148"/>
      <c r="AF220" s="148"/>
      <c r="AG220" s="148" t="str">
        <f>IF(A220="","",'UT2'!$AF$76)</f>
        <v/>
      </c>
      <c r="AH220" s="151" t="str">
        <f t="shared" si="7"/>
        <v/>
      </c>
    </row>
    <row r="221" spans="1:34">
      <c r="A221" s="148" t="str">
        <f>IF(OR(IFERROR('UT2'!$W$77&gt;=$B$3,FALSE),'UT2'!$AC$77="Forcée",'UT2'!$X$77&lt;&gt;"",'UT2'!$AA$77&lt;&gt;""),"UT2-77","")</f>
        <v/>
      </c>
      <c r="B221" s="148" t="str">
        <f>IF(OR(IFERROR('UT2'!$W$77&gt;=$B$3,FALSE),'UT2'!$AC$77="Forcée",'UT2'!$X$77&lt;&gt;"",'UT2'!$AA$77&lt;&gt;""),"UT2","")</f>
        <v/>
      </c>
      <c r="C221" s="148" t="str">
        <f>IF(OR(IFERROR('UT2'!$W$77&gt;=$B$3,FALSE),'UT2'!$AC$77="Forcée",'UT2'!$X$77&lt;&gt;"",'UT2'!$AA$77&lt;&gt;""),'UT2'!$A$77,"")</f>
        <v/>
      </c>
      <c r="D221" s="148" t="str">
        <f>IF(OR(IFERROR('UT2'!$W$77&gt;=$B$3,FALSE),'UT2'!$AC$77="Forcée",'UT2'!$X$77&lt;&gt;"",'UT2'!$AA$77&lt;&gt;""),'UT2'!$B$77,"")</f>
        <v/>
      </c>
      <c r="E221" s="148" t="str">
        <f>IF(OR(IFERROR('UT2'!$W$77&gt;=$B$3,FALSE),'UT2'!$AC$77="Forcée",'UT2'!$X$77&lt;&gt;"",'UT2'!$AA$77&lt;&gt;""),'UT2'!$C$77,"")</f>
        <v/>
      </c>
      <c r="F221" s="148" t="str">
        <f>IF(OR(IFERROR('UT2'!$W$77&gt;=$B$3,FALSE),'UT2'!$AC$77="Forcée",'UT2'!$X$77&lt;&gt;"",'UT2'!$AA$77&lt;&gt;""),'UT2'!$D$77,"")</f>
        <v/>
      </c>
      <c r="G221" s="148" t="str">
        <f>IF(OR(IFERROR('UT2'!$W$77&gt;=$B$3,FALSE),'UT2'!$AC$77="Forcée",'UT2'!$X$77&lt;&gt;"",'UT2'!$AA$77&lt;&gt;""),'UT2'!$E$77,"")</f>
        <v/>
      </c>
      <c r="H221" s="148" t="str">
        <f>IF(OR(IFERROR('UT2'!$W$77&gt;=$B$3,FALSE),'UT2'!$AC$77="Forcée",'UT2'!$X$77&lt;&gt;"",'UT2'!$AA$77&lt;&gt;""),'UT2'!$H$77,"")</f>
        <v/>
      </c>
      <c r="I221" s="148" t="str">
        <f>IF(OR(IFERROR('UT2'!$W$77&gt;=$B$3,FALSE),'UT2'!$AC$77="Forcée",'UT2'!$X$77&lt;&gt;"",'UT2'!$AA$77&lt;&gt;""),'UT2'!$W$77,"")</f>
        <v/>
      </c>
      <c r="J221" s="148" t="str">
        <f t="shared" si="6"/>
        <v/>
      </c>
      <c r="K221" s="148" t="str">
        <f>IF(A221="","",IF('UT2'!$AC$77="Forcée","Forcée",IF('UT2'!$AC$77="Exclue","Exclue","Automatique")))</f>
        <v/>
      </c>
      <c r="L221" s="148" t="str">
        <f>IF(A221="","",IF('UT2'!$AC$77="Exclue","Exclu",IF('UT2'!$W$77&gt;=$B$3,"Actif - risque significatif",IF(AND('UT2'!$W$77&lt;$B$3,'UT2'!$AD$77="Oui"),"Maîtrisé / clôturable","Maîtrisé - à vérifier"))))</f>
        <v/>
      </c>
      <c r="M221" s="148" t="str">
        <f>IF(A221="","",IF('UT2'!$W$77&gt;=16,"P1 - Critique",IF('UT2'!$W$77&gt;=13,"P2 - Haute",IF('UT2'!$W$77&gt;=9,"P3 - Moyenne","P4 - Basse"))))</f>
        <v/>
      </c>
      <c r="N221" s="148"/>
      <c r="O221" s="148" t="str">
        <f>IF(A221="","",'UT2'!$X$77)</f>
        <v/>
      </c>
      <c r="P221" s="148"/>
      <c r="Q221" s="148"/>
      <c r="R221" s="148" t="str">
        <f>IF(A221="","",'UT2'!$Z$77)</f>
        <v/>
      </c>
      <c r="S221" s="148"/>
      <c r="T221" s="148"/>
      <c r="U221" s="149"/>
      <c r="V221" s="150"/>
      <c r="W221" s="150" t="str">
        <f>IF(A221="","",'UT2'!$Y$77)</f>
        <v/>
      </c>
      <c r="X221" s="148"/>
      <c r="Y221" s="148"/>
      <c r="Z221" s="148"/>
      <c r="AA221" s="148"/>
      <c r="AB221" s="148" t="str">
        <f>IF(A221="","",'UT2'!$AA$77)</f>
        <v/>
      </c>
      <c r="AC221" s="148" t="str">
        <f>IF(A221="","",'UT2'!$AD$77)</f>
        <v/>
      </c>
      <c r="AD221" s="150" t="str">
        <f>IF(A221="","",'UT2'!$AE$77)</f>
        <v/>
      </c>
      <c r="AE221" s="148"/>
      <c r="AF221" s="148"/>
      <c r="AG221" s="148" t="str">
        <f>IF(A221="","",'UT2'!$AF$77)</f>
        <v/>
      </c>
      <c r="AH221" s="151" t="str">
        <f t="shared" si="7"/>
        <v/>
      </c>
    </row>
  </sheetData>
  <autoFilter ref="A5:AH221" xr:uid="{00000000-0009-0000-0000-000006000000}"/>
  <mergeCells count="3">
    <mergeCell ref="A2:AH2"/>
    <mergeCell ref="G3:M3"/>
    <mergeCell ref="A1:AH1"/>
  </mergeCells>
  <conditionalFormatting sqref="L6:L221">
    <cfRule type="expression" dxfId="1" priority="1">
      <formula>LEFT(L6,5)="Actif"</formula>
    </cfRule>
    <cfRule type="expression" dxfId="0" priority="2">
      <formula>LEFT(L6,8)="Maîtrisé"</formula>
    </cfRule>
  </conditionalFormatting>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6"/>
  <sheetViews>
    <sheetView workbookViewId="0">
      <selection activeCell="C29" sqref="C29"/>
    </sheetView>
  </sheetViews>
  <sheetFormatPr baseColWidth="10" defaultColWidth="9.140625" defaultRowHeight="12.75"/>
  <cols>
    <col min="1" max="1" width="42" customWidth="1"/>
    <col min="2" max="2" width="18" customWidth="1"/>
    <col min="4" max="4" width="20" customWidth="1"/>
    <col min="5" max="8" width="17" customWidth="1"/>
  </cols>
  <sheetData>
    <row r="1" spans="1:12" ht="20.25">
      <c r="A1" s="215" t="s">
        <v>213</v>
      </c>
      <c r="B1" s="162"/>
      <c r="C1" s="162"/>
      <c r="D1" s="162"/>
      <c r="E1" s="162"/>
      <c r="F1" s="162"/>
      <c r="G1" s="162"/>
      <c r="H1" s="162"/>
      <c r="I1" s="162"/>
      <c r="J1" s="162"/>
      <c r="K1" s="162"/>
      <c r="L1" s="162"/>
    </row>
    <row r="3" spans="1:12">
      <c r="A3" s="134" t="s">
        <v>214</v>
      </c>
      <c r="B3" s="134" t="s">
        <v>215</v>
      </c>
      <c r="D3" s="214" t="s">
        <v>216</v>
      </c>
      <c r="E3" s="162"/>
      <c r="F3" s="162"/>
    </row>
    <row r="4" spans="1:12">
      <c r="A4" s="139" t="s">
        <v>217</v>
      </c>
      <c r="B4" s="139">
        <f>COUNTIF('0'!H6:H77,"&gt;0")+COUNTIF('UT1'!H6:H77,"&gt;0")+COUNTIF('UT2'!H6:H77,"&gt;0")</f>
        <v>36</v>
      </c>
      <c r="D4" s="142" t="str">
        <f>HYPERLINK("#'Page de garde'!A1","Page de garde")</f>
        <v>Page de garde</v>
      </c>
    </row>
    <row r="5" spans="1:12">
      <c r="A5" s="139" t="s">
        <v>218</v>
      </c>
      <c r="B5" s="139">
        <f>COUNTIF('0'!W6:W77,"&gt;="&amp;PAPRIPACT!B3)+COUNTIF('UT1'!W6:W77,"&gt;="&amp;PAPRIPACT!B3)+COUNTIF('UT2'!W6:W77,"&gt;="&amp;PAPRIPACT!B3)</f>
        <v>0</v>
      </c>
      <c r="D5" s="142" t="str">
        <f>HYPERLINK("#'Index'!A1","Index")</f>
        <v>Index</v>
      </c>
    </row>
    <row r="6" spans="1:12">
      <c r="A6" s="139" t="s">
        <v>219</v>
      </c>
      <c r="B6" s="139">
        <f>COUNTIF(PAPRIPACT!L6:L221,"Actif*")</f>
        <v>0</v>
      </c>
      <c r="D6" s="142" t="str">
        <f>HYPERLINK("#'0'!A1","UT 0")</f>
        <v>UT 0</v>
      </c>
    </row>
    <row r="7" spans="1:12">
      <c r="A7" s="139" t="s">
        <v>220</v>
      </c>
      <c r="B7" s="139">
        <f>COUNTIF(PAPRIPACT!L6:L221,"Maîtrisé - à vérifier")</f>
        <v>0</v>
      </c>
      <c r="D7" s="142" t="str">
        <f>HYPERLINK("#'UT1'!A1","UT 1")</f>
        <v>UT 1</v>
      </c>
    </row>
    <row r="8" spans="1:12">
      <c r="A8" s="139" t="s">
        <v>221</v>
      </c>
      <c r="B8" s="139">
        <f>COUNTIF(PAPRIPACT!L6:L221,"Maîtrisé / clôturable")</f>
        <v>0</v>
      </c>
      <c r="D8" s="142" t="str">
        <f>HYPERLINK("#'UT2'!A1","UT 2")</f>
        <v>UT 2</v>
      </c>
    </row>
    <row r="9" spans="1:12">
      <c r="A9" s="139" t="s">
        <v>222</v>
      </c>
      <c r="B9" s="141">
        <f>COUNTIF(PAPRIPACT!AB6:AB221,"Clôturée")</f>
        <v>0</v>
      </c>
      <c r="D9" s="142" t="str">
        <f>HYPERLINK("#'Pénibilité'!A1","Pénibilité")</f>
        <v>Pénibilité</v>
      </c>
    </row>
    <row r="10" spans="1:12">
      <c r="A10" t="s">
        <v>223</v>
      </c>
      <c r="B10">
        <f ca="1">COUNTIFS(PAPRIPACT!W6:W221,"&lt;"&amp;TODAY(),PAPRIPACT!W6:W221,"&gt;0",PAPRIPACT!AB6:AB221,"&lt;&gt;Clôturée")</f>
        <v>0</v>
      </c>
      <c r="D10" s="142" t="str">
        <f>HYPERLINK("#'Bilan annuel'!A1","Bilan annuel")</f>
        <v>Bilan annuel</v>
      </c>
    </row>
    <row r="11" spans="1:12">
      <c r="A11" t="s">
        <v>224</v>
      </c>
      <c r="B11" s="140">
        <f>IFERROR((B7+B8)/(B6+B7+B8),0)</f>
        <v>0</v>
      </c>
      <c r="D11" t="str">
        <f>HYPERLINK("#'Présentation CSE'!A1","Présentation CSE")</f>
        <v>Présentation CSE</v>
      </c>
    </row>
    <row r="12" spans="1:12">
      <c r="A12" s="133" t="s">
        <v>225</v>
      </c>
      <c r="B12" s="133" t="s">
        <v>226</v>
      </c>
      <c r="D12" s="134" t="str">
        <f>HYPERLINK("#'Références'!A1","Références")</f>
        <v>Références</v>
      </c>
      <c r="E12" s="134" t="s">
        <v>217</v>
      </c>
      <c r="F12" s="134" t="s">
        <v>227</v>
      </c>
      <c r="G12" s="134" t="s">
        <v>228</v>
      </c>
      <c r="H12" s="134" t="s">
        <v>222</v>
      </c>
    </row>
    <row r="13" spans="1:12">
      <c r="A13" t="s">
        <v>229</v>
      </c>
      <c r="B13">
        <f>COUNTIF('0'!AA6:AA77,"À lancer")+COUNTIF('UT1'!AA6:AA77,"À lancer")+COUNTIF('UT2'!AA6:AA77,"À lancer")</f>
        <v>0</v>
      </c>
      <c r="D13" t="str">
        <f>"0"</f>
        <v>0</v>
      </c>
      <c r="E13">
        <f>COUNTIF('0'!H6:H77,"&gt;0")</f>
        <v>12</v>
      </c>
      <c r="F13">
        <f>COUNTIF('0'!W6:W77,"&gt;="&amp;PAPRIPACT!B3)</f>
        <v>0</v>
      </c>
      <c r="G13">
        <f>COUNTIFS('0'!X6:X77,"&lt;&gt;",'0'!AA6:AA77,"&lt;&gt;Clôturée")</f>
        <v>0</v>
      </c>
      <c r="H13">
        <f>COUNTIF('0'!AA6:AA77,"Clôturée")</f>
        <v>0</v>
      </c>
    </row>
    <row r="14" spans="1:12">
      <c r="A14" t="s">
        <v>230</v>
      </c>
      <c r="B14">
        <f>COUNTIF('0'!AA6:AA77,"En cours")+COUNTIF('UT1'!AA6:AA77,"En cours")+COUNTIF('UT2'!AA6:AA77,"En cours")</f>
        <v>0</v>
      </c>
      <c r="D14" t="str">
        <f>"UT1"</f>
        <v>UT1</v>
      </c>
      <c r="E14">
        <f>COUNTIF('UT1'!H6:H77,"&gt;0")</f>
        <v>12</v>
      </c>
      <c r="F14">
        <f>COUNTIF('UT1'!W6:W77,"&gt;="&amp;PAPRIPACT!B3)</f>
        <v>0</v>
      </c>
      <c r="G14">
        <f>COUNTIFS('UT1'!X6:X77,"&lt;&gt;",'UT1'!AA6:AA77,"&lt;&gt;Clôturée")</f>
        <v>0</v>
      </c>
      <c r="H14">
        <f>COUNTIF('UT1'!AA6:AA77,"Clôturée")</f>
        <v>0</v>
      </c>
    </row>
    <row r="15" spans="1:12">
      <c r="A15" t="s">
        <v>231</v>
      </c>
      <c r="B15">
        <f>COUNTIF('0'!AA6:AA77,"Bloquée")+COUNTIF('UT1'!AA6:AA77,"Bloquée")+COUNTIF('UT2'!AA6:AA77,"Bloquée")</f>
        <v>0</v>
      </c>
      <c r="D15" t="str">
        <f>"UT2"</f>
        <v>UT2</v>
      </c>
      <c r="E15">
        <f>COUNTIF('UT2'!H6:H77,"&gt;0")</f>
        <v>12</v>
      </c>
      <c r="F15">
        <f>COUNTIF('UT2'!W6:W77,"&gt;="&amp;PAPRIPACT!B3)</f>
        <v>0</v>
      </c>
      <c r="G15">
        <f>COUNTIFS('UT2'!X6:X77,"&lt;&gt;",'UT2'!AA6:AA77,"&lt;&gt;Clôturée")</f>
        <v>0</v>
      </c>
      <c r="H15">
        <f>COUNTIF('UT2'!AA6:AA77,"Clôturée")</f>
        <v>0</v>
      </c>
    </row>
    <row r="16" spans="1:12">
      <c r="A16" t="s">
        <v>232</v>
      </c>
      <c r="B16">
        <f>COUNTIF('0'!AA6:AA77,"Clôturée")+COUNTIF('UT1'!AA6:AA77,"Clôturée")+COUNTIF('UT2'!AA6:AA77,"Clôturée")</f>
        <v>0</v>
      </c>
    </row>
  </sheetData>
  <mergeCells count="2">
    <mergeCell ref="D3:F3"/>
    <mergeCell ref="A1:L1"/>
  </mergeCells>
  <conditionalFormatting sqref="B4:B9">
    <cfRule type="dataBar" priority="1">
      <dataBar>
        <cfvo type="min"/>
        <cfvo type="max"/>
        <color rgb="FF4472C4"/>
      </dataBar>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120"/>
  <sheetViews>
    <sheetView workbookViewId="0"/>
  </sheetViews>
  <sheetFormatPr baseColWidth="10" defaultColWidth="9.140625" defaultRowHeight="12.75"/>
  <sheetData>
    <row r="1" spans="1:27" ht="18.75">
      <c r="A1" s="219" t="s">
        <v>233</v>
      </c>
      <c r="B1" s="162"/>
      <c r="C1" s="162"/>
      <c r="D1" s="162"/>
      <c r="E1" s="162"/>
      <c r="F1" s="162"/>
      <c r="G1" s="162"/>
      <c r="H1" s="162"/>
      <c r="I1" s="152"/>
      <c r="J1" s="152"/>
      <c r="K1" s="152"/>
      <c r="L1" s="152"/>
      <c r="M1" s="152"/>
      <c r="N1" s="152"/>
      <c r="O1" s="152"/>
      <c r="P1" s="152"/>
      <c r="Q1" s="152"/>
      <c r="R1" s="152"/>
      <c r="S1" s="152"/>
      <c r="T1" s="152"/>
      <c r="U1" s="152"/>
      <c r="V1" s="152"/>
      <c r="W1" s="152"/>
      <c r="X1" s="152"/>
      <c r="Y1" s="152"/>
      <c r="Z1" s="152"/>
      <c r="AA1" s="152"/>
    </row>
    <row r="2" spans="1:27" ht="13.5">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row>
    <row r="3" spans="1:27" ht="13.5">
      <c r="A3" s="153" t="s">
        <v>234</v>
      </c>
      <c r="B3" s="153" t="s">
        <v>235</v>
      </c>
      <c r="C3" s="152"/>
      <c r="D3" s="218" t="s">
        <v>236</v>
      </c>
      <c r="E3" s="162"/>
      <c r="F3" s="162"/>
      <c r="G3" s="162"/>
      <c r="H3" s="162"/>
      <c r="I3" s="152"/>
      <c r="J3" s="152"/>
      <c r="K3" s="152"/>
      <c r="L3" s="152"/>
      <c r="M3" s="152"/>
      <c r="N3" s="152"/>
      <c r="O3" s="152"/>
      <c r="P3" s="152"/>
      <c r="Q3" s="152"/>
      <c r="R3" s="152"/>
      <c r="S3" s="152"/>
      <c r="T3" s="152"/>
      <c r="U3" s="152"/>
      <c r="V3" s="152"/>
      <c r="W3" s="152"/>
      <c r="X3" s="152"/>
      <c r="Y3" s="152"/>
      <c r="Z3" s="152"/>
      <c r="AA3" s="152"/>
    </row>
    <row r="4" spans="1:27" ht="13.5">
      <c r="A4" s="152" t="s">
        <v>237</v>
      </c>
      <c r="B4" s="152"/>
      <c r="C4" s="152"/>
      <c r="D4" s="217" t="s">
        <v>238</v>
      </c>
      <c r="E4" s="162"/>
      <c r="F4" s="162"/>
      <c r="G4" s="162"/>
      <c r="H4" s="162"/>
      <c r="I4" s="152"/>
      <c r="J4" s="152"/>
      <c r="K4" s="152"/>
      <c r="L4" s="152"/>
      <c r="M4" s="152"/>
      <c r="N4" s="152"/>
      <c r="O4" s="152"/>
      <c r="P4" s="152"/>
      <c r="Q4" s="152"/>
      <c r="R4" s="152"/>
      <c r="S4" s="152"/>
      <c r="T4" s="152"/>
      <c r="U4" s="152"/>
      <c r="V4" s="152"/>
      <c r="W4" s="152"/>
      <c r="X4" s="152"/>
      <c r="Y4" s="152"/>
      <c r="Z4" s="152"/>
      <c r="AA4" s="152"/>
    </row>
    <row r="5" spans="1:27" ht="13.5">
      <c r="A5" s="152" t="s">
        <v>239</v>
      </c>
      <c r="B5" s="152"/>
      <c r="C5" s="152"/>
      <c r="D5" s="162"/>
      <c r="E5" s="167"/>
      <c r="F5" s="167"/>
      <c r="G5" s="167"/>
      <c r="H5" s="162"/>
      <c r="I5" s="152"/>
      <c r="J5" s="152"/>
      <c r="K5" s="152"/>
      <c r="L5" s="152"/>
      <c r="M5" s="152"/>
      <c r="N5" s="152"/>
      <c r="O5" s="152"/>
      <c r="P5" s="152"/>
      <c r="Q5" s="152"/>
      <c r="R5" s="152"/>
      <c r="S5" s="152"/>
      <c r="T5" s="152"/>
      <c r="U5" s="152"/>
      <c r="V5" s="152"/>
      <c r="W5" s="152"/>
      <c r="X5" s="152"/>
      <c r="Y5" s="152"/>
      <c r="Z5" s="152"/>
      <c r="AA5" s="152"/>
    </row>
    <row r="6" spans="1:27" ht="13.5">
      <c r="A6" s="152" t="s">
        <v>240</v>
      </c>
      <c r="B6" s="152"/>
      <c r="C6" s="152"/>
      <c r="D6" s="162"/>
      <c r="E6" s="167"/>
      <c r="F6" s="167"/>
      <c r="G6" s="167"/>
      <c r="H6" s="162"/>
      <c r="I6" s="152"/>
      <c r="J6" s="152"/>
      <c r="K6" s="152"/>
      <c r="L6" s="152"/>
      <c r="M6" s="152"/>
      <c r="N6" s="152"/>
      <c r="O6" s="152"/>
      <c r="P6" s="152"/>
      <c r="Q6" s="152"/>
      <c r="R6" s="152"/>
      <c r="S6" s="152"/>
      <c r="T6" s="152"/>
      <c r="U6" s="152"/>
      <c r="V6" s="152"/>
      <c r="W6" s="152"/>
      <c r="X6" s="152"/>
      <c r="Y6" s="152"/>
      <c r="Z6" s="152"/>
      <c r="AA6" s="152"/>
    </row>
    <row r="7" spans="1:27" ht="13.5">
      <c r="A7" s="152" t="s">
        <v>181</v>
      </c>
      <c r="B7" s="152"/>
      <c r="C7" s="152"/>
      <c r="D7" s="162"/>
      <c r="E7" s="167"/>
      <c r="F7" s="167"/>
      <c r="G7" s="167"/>
      <c r="H7" s="162"/>
      <c r="I7" s="152"/>
      <c r="J7" s="152"/>
      <c r="K7" s="152"/>
      <c r="L7" s="152"/>
      <c r="M7" s="152"/>
      <c r="N7" s="152"/>
      <c r="O7" s="152"/>
      <c r="P7" s="152"/>
      <c r="Q7" s="152"/>
      <c r="R7" s="152"/>
      <c r="S7" s="152"/>
      <c r="T7" s="152"/>
      <c r="U7" s="152"/>
      <c r="V7" s="152"/>
      <c r="W7" s="152"/>
      <c r="X7" s="152"/>
      <c r="Y7" s="152"/>
      <c r="Z7" s="152"/>
      <c r="AA7" s="152"/>
    </row>
    <row r="8" spans="1:27" ht="13.5">
      <c r="A8" s="152" t="s">
        <v>241</v>
      </c>
      <c r="B8" s="152"/>
      <c r="C8" s="152"/>
      <c r="D8" s="162"/>
      <c r="E8" s="167"/>
      <c r="F8" s="167"/>
      <c r="G8" s="167"/>
      <c r="H8" s="162"/>
      <c r="I8" s="152"/>
      <c r="J8" s="152"/>
      <c r="K8" s="152"/>
      <c r="L8" s="152"/>
      <c r="M8" s="152"/>
      <c r="N8" s="152"/>
      <c r="O8" s="152"/>
      <c r="P8" s="152"/>
      <c r="Q8" s="152"/>
      <c r="R8" s="152"/>
      <c r="S8" s="152"/>
      <c r="T8" s="152"/>
      <c r="U8" s="152"/>
      <c r="V8" s="152"/>
      <c r="W8" s="152"/>
      <c r="X8" s="152"/>
      <c r="Y8" s="152"/>
      <c r="Z8" s="152"/>
      <c r="AA8" s="152"/>
    </row>
    <row r="9" spans="1:27" ht="13.5">
      <c r="A9" s="152" t="s">
        <v>242</v>
      </c>
      <c r="B9" s="152"/>
      <c r="C9" s="152"/>
      <c r="D9" s="162"/>
      <c r="E9" s="167"/>
      <c r="F9" s="167"/>
      <c r="G9" s="167"/>
      <c r="H9" s="162"/>
      <c r="I9" s="152"/>
      <c r="J9" s="152"/>
      <c r="K9" s="152"/>
      <c r="L9" s="152"/>
      <c r="M9" s="152"/>
      <c r="N9" s="152"/>
      <c r="O9" s="152"/>
      <c r="P9" s="152"/>
      <c r="Q9" s="152"/>
      <c r="R9" s="152"/>
      <c r="S9" s="152"/>
      <c r="T9" s="152"/>
      <c r="U9" s="152"/>
      <c r="V9" s="152"/>
      <c r="W9" s="152"/>
      <c r="X9" s="152"/>
      <c r="Y9" s="152"/>
      <c r="Z9" s="152"/>
      <c r="AA9" s="152"/>
    </row>
    <row r="10" spans="1:27" ht="13.5">
      <c r="A10" s="152" t="s">
        <v>243</v>
      </c>
      <c r="B10" s="152"/>
      <c r="C10" s="152"/>
      <c r="D10" s="162"/>
      <c r="E10" s="167"/>
      <c r="F10" s="167"/>
      <c r="G10" s="167"/>
      <c r="H10" s="162"/>
      <c r="I10" s="152"/>
      <c r="J10" s="152"/>
      <c r="K10" s="152"/>
      <c r="L10" s="152"/>
      <c r="M10" s="152"/>
      <c r="N10" s="152"/>
      <c r="O10" s="152"/>
      <c r="P10" s="152"/>
      <c r="Q10" s="152"/>
      <c r="R10" s="152"/>
      <c r="S10" s="152"/>
      <c r="T10" s="152"/>
      <c r="U10" s="152"/>
      <c r="V10" s="152"/>
      <c r="W10" s="152"/>
      <c r="X10" s="152"/>
      <c r="Y10" s="152"/>
      <c r="Z10" s="152"/>
      <c r="AA10" s="152"/>
    </row>
    <row r="11" spans="1:27" ht="13.5">
      <c r="A11" s="152" t="s">
        <v>244</v>
      </c>
      <c r="B11" s="152"/>
      <c r="C11" s="152"/>
      <c r="D11" s="162"/>
      <c r="E11" s="162"/>
      <c r="F11" s="162"/>
      <c r="G11" s="162"/>
      <c r="H11" s="162"/>
      <c r="I11" s="152"/>
      <c r="J11" s="152"/>
      <c r="K11" s="152"/>
      <c r="L11" s="152"/>
      <c r="M11" s="152"/>
      <c r="N11" s="152"/>
      <c r="O11" s="152"/>
      <c r="P11" s="152"/>
      <c r="Q11" s="152"/>
      <c r="R11" s="152"/>
      <c r="S11" s="152"/>
      <c r="T11" s="152"/>
      <c r="U11" s="152"/>
      <c r="V11" s="152"/>
      <c r="W11" s="152"/>
      <c r="X11" s="152"/>
      <c r="Y11" s="152"/>
      <c r="Z11" s="152"/>
      <c r="AA11" s="152"/>
    </row>
    <row r="12" spans="1:27" ht="13.5">
      <c r="A12" s="152"/>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row>
    <row r="13" spans="1:27" ht="13.5">
      <c r="A13" s="216" t="s">
        <v>245</v>
      </c>
      <c r="B13" s="162"/>
      <c r="C13" s="162"/>
      <c r="D13" s="162"/>
      <c r="E13" s="162"/>
      <c r="F13" s="162"/>
      <c r="G13" s="162"/>
      <c r="H13" s="162"/>
      <c r="I13" s="152"/>
      <c r="J13" s="152"/>
      <c r="K13" s="152"/>
      <c r="L13" s="152"/>
      <c r="M13" s="152"/>
      <c r="N13" s="152"/>
      <c r="O13" s="152"/>
      <c r="P13" s="152"/>
      <c r="Q13" s="152"/>
      <c r="R13" s="152"/>
      <c r="S13" s="152"/>
      <c r="T13" s="152"/>
      <c r="U13" s="152"/>
      <c r="V13" s="152"/>
      <c r="W13" s="152"/>
      <c r="X13" s="152"/>
      <c r="Y13" s="152"/>
      <c r="Z13" s="152"/>
      <c r="AA13" s="152"/>
    </row>
    <row r="14" spans="1:27" ht="162">
      <c r="A14" s="154" t="s">
        <v>246</v>
      </c>
      <c r="B14" s="155" t="s">
        <v>247</v>
      </c>
      <c r="C14" s="155" t="s">
        <v>248</v>
      </c>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row>
    <row r="15" spans="1:27" ht="216">
      <c r="A15" s="154" t="s">
        <v>249</v>
      </c>
      <c r="B15" s="155" t="s">
        <v>250</v>
      </c>
      <c r="C15" s="155" t="s">
        <v>251</v>
      </c>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row>
    <row r="16" spans="1:27" ht="162">
      <c r="A16" s="154" t="s">
        <v>252</v>
      </c>
      <c r="B16" s="155" t="s">
        <v>253</v>
      </c>
      <c r="C16" s="155" t="s">
        <v>254</v>
      </c>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row>
    <row r="17" spans="1:27" ht="162">
      <c r="A17" s="154" t="s">
        <v>255</v>
      </c>
      <c r="B17" s="155" t="s">
        <v>256</v>
      </c>
      <c r="C17" s="155" t="s">
        <v>257</v>
      </c>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row>
    <row r="18" spans="1:27" ht="121.5">
      <c r="A18" s="154" t="s">
        <v>258</v>
      </c>
      <c r="B18" s="155" t="s">
        <v>259</v>
      </c>
      <c r="C18" s="155" t="s">
        <v>260</v>
      </c>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row>
    <row r="19" spans="1:27" ht="162">
      <c r="A19" s="154" t="s">
        <v>261</v>
      </c>
      <c r="B19" s="155" t="s">
        <v>262</v>
      </c>
      <c r="C19" s="155" t="s">
        <v>263</v>
      </c>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row>
    <row r="20" spans="1:27" ht="13.5">
      <c r="A20" s="152"/>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row>
    <row r="21" spans="1:27" ht="13.5">
      <c r="A21" s="152"/>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row>
    <row r="22" spans="1:27" ht="13.5">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row>
    <row r="23" spans="1:27" ht="13.5">
      <c r="A23" s="152"/>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row>
    <row r="24" spans="1:27" ht="13.5">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row>
    <row r="25" spans="1:27" ht="13.5">
      <c r="A25" s="152"/>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row>
    <row r="26" spans="1:27" ht="13.5">
      <c r="A26" s="152"/>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row>
    <row r="27" spans="1:27" ht="13.5">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row>
    <row r="28" spans="1:27" ht="13.5">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row>
    <row r="29" spans="1:27" ht="13.5">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row>
    <row r="30" spans="1:27" ht="13.5">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row>
    <row r="31" spans="1:27" ht="13.5">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row>
    <row r="32" spans="1:27" ht="13.5">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row>
    <row r="33" spans="1:27" ht="13.5">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row>
    <row r="34" spans="1:27" ht="13.5">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row>
    <row r="35" spans="1:27" ht="13.5">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row>
    <row r="36" spans="1:27" ht="13.5">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row>
    <row r="37" spans="1:27" ht="13.5">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row>
    <row r="38" spans="1:27" ht="13.5">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row>
    <row r="39" spans="1:27" ht="13.5">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row>
    <row r="40" spans="1:27" ht="13.5">
      <c r="A40" s="152"/>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row>
    <row r="41" spans="1:27" ht="13.5">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row>
    <row r="42" spans="1:27" ht="13.5">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row>
    <row r="43" spans="1:27" ht="13.5">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row>
    <row r="44" spans="1:27" ht="13.5">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row>
    <row r="45" spans="1:27" ht="13.5">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row>
    <row r="46" spans="1:27" ht="13.5">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row>
    <row r="47" spans="1:27" ht="13.5">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row>
    <row r="48" spans="1:27" ht="13.5">
      <c r="A48" s="152"/>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row>
    <row r="49" spans="1:27" ht="13.5">
      <c r="A49" s="152"/>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row>
    <row r="50" spans="1:27" ht="13.5">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row>
    <row r="51" spans="1:27" ht="13.5">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row>
    <row r="52" spans="1:27" ht="13.5">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row>
    <row r="53" spans="1:27" ht="13.5">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row>
    <row r="54" spans="1:27" ht="13.5">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row>
    <row r="55" spans="1:27" ht="13.5">
      <c r="A55" s="152"/>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row>
    <row r="56" spans="1:27" ht="13.5">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row>
    <row r="57" spans="1:27" ht="13.5">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row>
    <row r="58" spans="1:27" ht="13.5">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row>
    <row r="59" spans="1:27" ht="13.5">
      <c r="A59" s="152"/>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row>
    <row r="60" spans="1:27" ht="13.5">
      <c r="A60" s="15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row>
    <row r="61" spans="1:27" ht="13.5">
      <c r="A61" s="15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row>
    <row r="62" spans="1:27" ht="13.5">
      <c r="A62" s="15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row>
    <row r="63" spans="1:27" ht="13.5">
      <c r="A63" s="15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row>
    <row r="64" spans="1:27" ht="13.5">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row>
    <row r="65" spans="1:27" ht="13.5">
      <c r="A65" s="152"/>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row>
    <row r="66" spans="1:27" ht="13.5">
      <c r="A66" s="15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row>
    <row r="67" spans="1:27" ht="13.5">
      <c r="A67" s="15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row>
    <row r="68" spans="1:27" ht="13.5">
      <c r="A68" s="15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row>
    <row r="69" spans="1:27" ht="13.5">
      <c r="A69" s="15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row>
    <row r="70" spans="1:27" ht="13.5">
      <c r="A70" s="15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c r="AA70" s="152"/>
    </row>
    <row r="71" spans="1:27" ht="13.5">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row>
    <row r="72" spans="1:27" ht="13.5">
      <c r="A72" s="15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row>
    <row r="73" spans="1:27" ht="13.5">
      <c r="A73" s="15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row>
    <row r="74" spans="1:27" ht="13.5">
      <c r="A74" s="152"/>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row>
    <row r="75" spans="1:27" ht="13.5">
      <c r="A75" s="152"/>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c r="AA75" s="152"/>
    </row>
    <row r="76" spans="1:27" ht="13.5">
      <c r="A76" s="152"/>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row>
    <row r="77" spans="1:27" ht="13.5">
      <c r="A77" s="152"/>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52"/>
    </row>
    <row r="78" spans="1:27" ht="13.5">
      <c r="A78" s="152"/>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c r="AA78" s="152"/>
    </row>
    <row r="79" spans="1:27" ht="13.5">
      <c r="A79" s="152"/>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row>
    <row r="80" spans="1:27" ht="13.5">
      <c r="A80" s="152"/>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row>
    <row r="81" spans="1:27" ht="13.5">
      <c r="A81" s="152"/>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row>
    <row r="82" spans="1:27" ht="13.5">
      <c r="A82" s="152"/>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c r="AA82" s="152"/>
    </row>
    <row r="83" spans="1:27" ht="13.5">
      <c r="A83" s="152"/>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row>
    <row r="84" spans="1:27" ht="13.5">
      <c r="A84" s="152"/>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row>
    <row r="85" spans="1:27" ht="13.5">
      <c r="A85" s="152"/>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row>
    <row r="86" spans="1:27" ht="13.5">
      <c r="A86" s="152"/>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row>
    <row r="87" spans="1:27" ht="13.5">
      <c r="A87" s="152"/>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row>
    <row r="88" spans="1:27" ht="13.5">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row>
    <row r="89" spans="1:27" ht="13.5">
      <c r="A89" s="152"/>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row>
    <row r="90" spans="1:27" ht="13.5">
      <c r="A90" s="152"/>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row>
    <row r="91" spans="1:27" ht="13.5">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row>
    <row r="92" spans="1:27" ht="13.5">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row>
    <row r="93" spans="1:27" ht="13.5">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row>
    <row r="94" spans="1:27" ht="13.5">
      <c r="A94" s="152"/>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row>
    <row r="95" spans="1:27" ht="13.5">
      <c r="A95" s="152"/>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row>
    <row r="96" spans="1:27" ht="13.5">
      <c r="A96" s="152"/>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row>
    <row r="97" spans="1:27" ht="13.5">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row>
    <row r="98" spans="1:27" ht="13.5">
      <c r="A98" s="152"/>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row>
    <row r="99" spans="1:27" ht="13.5">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row>
    <row r="100" spans="1:27" ht="13.5">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row>
    <row r="101" spans="1:27" ht="13.5">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row>
    <row r="102" spans="1:27" ht="13.5">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row>
    <row r="103" spans="1:27" ht="13.5">
      <c r="A103" s="152"/>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row>
    <row r="104" spans="1:27" ht="13.5">
      <c r="A104" s="152"/>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row>
    <row r="105" spans="1:27" ht="13.5">
      <c r="A105" s="152"/>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row>
    <row r="106" spans="1:27" ht="13.5">
      <c r="A106" s="152"/>
      <c r="B106" s="152"/>
      <c r="C106" s="152"/>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c r="AA106" s="152"/>
    </row>
    <row r="107" spans="1:27" ht="13.5">
      <c r="A107" s="152"/>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row>
    <row r="108" spans="1:27" ht="13.5">
      <c r="A108" s="152"/>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2"/>
    </row>
    <row r="109" spans="1:27" ht="13.5">
      <c r="A109" s="152"/>
      <c r="B109" s="152"/>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2"/>
    </row>
    <row r="110" spans="1:27" ht="13.5">
      <c r="A110" s="152"/>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2"/>
    </row>
    <row r="111" spans="1:27" ht="13.5">
      <c r="A111" s="152"/>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2"/>
    </row>
    <row r="112" spans="1:27" ht="13.5">
      <c r="A112" s="152"/>
      <c r="B112" s="152"/>
      <c r="C112" s="152"/>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c r="AA112" s="152"/>
    </row>
    <row r="113" spans="1:27" ht="13.5">
      <c r="A113" s="152"/>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2"/>
    </row>
    <row r="114" spans="1:27" ht="13.5">
      <c r="A114" s="152"/>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row>
    <row r="115" spans="1:27" ht="13.5">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row>
    <row r="116" spans="1:27" ht="13.5">
      <c r="A116" s="152"/>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row>
    <row r="117" spans="1:27" ht="13.5">
      <c r="A117" s="152"/>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row>
    <row r="118" spans="1:27" ht="13.5">
      <c r="A118" s="152"/>
      <c r="B118" s="152"/>
      <c r="C118" s="152"/>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c r="AA118" s="152"/>
    </row>
    <row r="119" spans="1:27" ht="13.5">
      <c r="A119" s="152"/>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c r="AA119" s="152"/>
    </row>
    <row r="120" spans="1:27" ht="13.5">
      <c r="A120" s="152"/>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2"/>
    </row>
  </sheetData>
  <mergeCells count="4">
    <mergeCell ref="A13:H13"/>
    <mergeCell ref="D4:H11"/>
    <mergeCell ref="D3:H3"/>
    <mergeCell ref="A1:H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20"/>
  <sheetViews>
    <sheetView workbookViewId="0"/>
  </sheetViews>
  <sheetFormatPr baseColWidth="10" defaultColWidth="9.140625" defaultRowHeight="12.75"/>
  <cols>
    <col min="1" max="1" width="38" customWidth="1"/>
    <col min="2" max="2" width="18" customWidth="1"/>
    <col min="4" max="12" width="14" customWidth="1"/>
  </cols>
  <sheetData>
    <row r="1" spans="1:27" ht="18.75">
      <c r="A1" s="220" t="s">
        <v>264</v>
      </c>
      <c r="B1" s="162"/>
      <c r="C1" s="162"/>
      <c r="D1" s="162"/>
      <c r="E1" s="162"/>
      <c r="F1" s="162"/>
      <c r="G1" s="162"/>
      <c r="H1" s="162"/>
      <c r="I1" s="162"/>
      <c r="J1" s="162"/>
      <c r="K1" s="162"/>
      <c r="L1" s="162"/>
      <c r="M1" s="152"/>
      <c r="N1" s="152"/>
      <c r="O1" s="152"/>
      <c r="P1" s="152"/>
      <c r="Q1" s="152"/>
      <c r="R1" s="152"/>
      <c r="S1" s="152"/>
      <c r="T1" s="152"/>
      <c r="U1" s="152"/>
      <c r="V1" s="152"/>
      <c r="W1" s="152"/>
      <c r="X1" s="152"/>
      <c r="Y1" s="152"/>
      <c r="Z1" s="152"/>
      <c r="AA1" s="152"/>
    </row>
    <row r="2" spans="1:27" ht="13.5">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row>
    <row r="3" spans="1:27" ht="13.5">
      <c r="A3" s="153" t="s">
        <v>214</v>
      </c>
      <c r="B3" s="153" t="s">
        <v>215</v>
      </c>
      <c r="C3" s="152"/>
      <c r="D3" s="218" t="s">
        <v>265</v>
      </c>
      <c r="E3" s="162"/>
      <c r="F3" s="162"/>
      <c r="G3" s="162"/>
      <c r="H3" s="162"/>
      <c r="I3" s="162"/>
      <c r="J3" s="162"/>
      <c r="K3" s="162"/>
      <c r="L3" s="162"/>
      <c r="M3" s="152"/>
      <c r="N3" s="152"/>
      <c r="O3" s="152"/>
      <c r="P3" s="152"/>
      <c r="Q3" s="152"/>
      <c r="R3" s="152"/>
      <c r="S3" s="152"/>
      <c r="T3" s="152"/>
      <c r="U3" s="152"/>
      <c r="V3" s="152"/>
      <c r="W3" s="152"/>
      <c r="X3" s="152"/>
      <c r="Y3" s="152"/>
      <c r="Z3" s="152"/>
      <c r="AA3" s="152"/>
    </row>
    <row r="4" spans="1:27" ht="13.5">
      <c r="A4" s="152" t="s">
        <v>266</v>
      </c>
      <c r="B4" s="152">
        <f>COUNTIF(PAPRIPACT!F6:F221,"&lt;&gt;")</f>
        <v>216</v>
      </c>
      <c r="C4" s="152"/>
      <c r="D4" s="217" t="s">
        <v>267</v>
      </c>
      <c r="E4" s="162"/>
      <c r="F4" s="162"/>
      <c r="G4" s="162"/>
      <c r="H4" s="162"/>
      <c r="I4" s="162"/>
      <c r="J4" s="162"/>
      <c r="K4" s="162"/>
      <c r="L4" s="162"/>
      <c r="M4" s="152"/>
      <c r="N4" s="152"/>
      <c r="O4" s="152"/>
      <c r="P4" s="152"/>
      <c r="Q4" s="152"/>
      <c r="R4" s="152"/>
      <c r="S4" s="152"/>
      <c r="T4" s="152"/>
      <c r="U4" s="152"/>
      <c r="V4" s="152"/>
      <c r="W4" s="152"/>
      <c r="X4" s="152"/>
      <c r="Y4" s="152"/>
      <c r="Z4" s="152"/>
      <c r="AA4" s="152"/>
    </row>
    <row r="5" spans="1:27" ht="13.5">
      <c r="A5" s="152" t="s">
        <v>268</v>
      </c>
      <c r="B5" s="152">
        <f>COUNTIF(PAPRIPACT!AB6:AB221,"Clôturée")</f>
        <v>0</v>
      </c>
      <c r="C5" s="152"/>
      <c r="D5" s="162"/>
      <c r="E5" s="167"/>
      <c r="F5" s="167"/>
      <c r="G5" s="167"/>
      <c r="H5" s="167"/>
      <c r="I5" s="167"/>
      <c r="J5" s="167"/>
      <c r="K5" s="167"/>
      <c r="L5" s="162"/>
      <c r="M5" s="152"/>
      <c r="N5" s="152"/>
      <c r="O5" s="152"/>
      <c r="P5" s="152"/>
      <c r="Q5" s="152"/>
      <c r="R5" s="152"/>
      <c r="S5" s="152"/>
      <c r="T5" s="152"/>
      <c r="U5" s="152"/>
      <c r="V5" s="152"/>
      <c r="W5" s="152"/>
      <c r="X5" s="152"/>
      <c r="Y5" s="152"/>
      <c r="Z5" s="152"/>
      <c r="AA5" s="152"/>
    </row>
    <row r="6" spans="1:27" ht="13.5">
      <c r="A6" s="152" t="s">
        <v>269</v>
      </c>
      <c r="B6" s="152">
        <f>COUNTIF(PAPRIPACT!AB6:AB221,"En cours")</f>
        <v>0</v>
      </c>
      <c r="C6" s="152"/>
      <c r="D6" s="162"/>
      <c r="E6" s="162"/>
      <c r="F6" s="162"/>
      <c r="G6" s="162"/>
      <c r="H6" s="162"/>
      <c r="I6" s="162"/>
      <c r="J6" s="162"/>
      <c r="K6" s="162"/>
      <c r="L6" s="162"/>
      <c r="M6" s="152"/>
      <c r="N6" s="152"/>
      <c r="O6" s="152"/>
      <c r="P6" s="152"/>
      <c r="Q6" s="152"/>
      <c r="R6" s="152"/>
      <c r="S6" s="152"/>
      <c r="T6" s="152"/>
      <c r="U6" s="152"/>
      <c r="V6" s="152"/>
      <c r="W6" s="152"/>
      <c r="X6" s="152"/>
      <c r="Y6" s="152"/>
      <c r="Z6" s="152"/>
      <c r="AA6" s="152"/>
    </row>
    <row r="7" spans="1:27" ht="13.5">
      <c r="A7" s="152" t="s">
        <v>270</v>
      </c>
      <c r="B7" s="152">
        <f>COUNTIF(PAPRIPACT!AB6:AB221,"Bloquée")</f>
        <v>0</v>
      </c>
      <c r="C7" s="152"/>
      <c r="D7" s="152"/>
      <c r="E7" s="152"/>
      <c r="F7" s="152"/>
      <c r="G7" s="152"/>
      <c r="H7" s="152"/>
      <c r="I7" s="152"/>
      <c r="J7" s="152"/>
      <c r="K7" s="152"/>
      <c r="L7" s="152"/>
      <c r="M7" s="152"/>
      <c r="N7" s="152"/>
      <c r="O7" s="152"/>
      <c r="P7" s="152"/>
      <c r="Q7" s="152"/>
      <c r="R7" s="152"/>
      <c r="S7" s="152"/>
      <c r="T7" s="152"/>
      <c r="U7" s="152"/>
      <c r="V7" s="152"/>
      <c r="W7" s="152"/>
      <c r="X7" s="152"/>
      <c r="Y7" s="152"/>
      <c r="Z7" s="152"/>
      <c r="AA7" s="152"/>
    </row>
    <row r="8" spans="1:27" ht="13.5">
      <c r="A8" s="152" t="s">
        <v>271</v>
      </c>
      <c r="B8" s="152">
        <f>COUNTIF(PAPRIPACT!AB6:AB221,"Reportée")</f>
        <v>0</v>
      </c>
      <c r="C8" s="152"/>
      <c r="D8" s="217" t="s">
        <v>272</v>
      </c>
      <c r="E8" s="162"/>
      <c r="F8" s="162"/>
      <c r="G8" s="162"/>
      <c r="H8" s="162"/>
      <c r="I8" s="162"/>
      <c r="J8" s="162"/>
      <c r="K8" s="162"/>
      <c r="L8" s="162"/>
      <c r="M8" s="152"/>
      <c r="N8" s="152"/>
      <c r="O8" s="152"/>
      <c r="P8" s="152"/>
      <c r="Q8" s="152"/>
      <c r="R8" s="152"/>
      <c r="S8" s="152"/>
      <c r="T8" s="152"/>
      <c r="U8" s="152"/>
      <c r="V8" s="152"/>
      <c r="W8" s="152"/>
      <c r="X8" s="152"/>
      <c r="Y8" s="152"/>
      <c r="Z8" s="152"/>
      <c r="AA8" s="152"/>
    </row>
    <row r="9" spans="1:27" ht="13.5">
      <c r="A9" s="152" t="s">
        <v>273</v>
      </c>
      <c r="B9" s="152">
        <f ca="1">COUNTIFS(PAPRIPACT!W6:W221,"&lt;"&amp;TODAY(),PAPRIPACT!W6:W221,"&gt;0",PAPRIPACT!AB6:AB221,"&lt;&gt;Clôturée")</f>
        <v>0</v>
      </c>
      <c r="C9" s="152"/>
      <c r="D9" s="162"/>
      <c r="E9" s="167"/>
      <c r="F9" s="167"/>
      <c r="G9" s="167"/>
      <c r="H9" s="167"/>
      <c r="I9" s="167"/>
      <c r="J9" s="167"/>
      <c r="K9" s="167"/>
      <c r="L9" s="162"/>
      <c r="M9" s="152"/>
      <c r="N9" s="152"/>
      <c r="O9" s="152"/>
      <c r="P9" s="152"/>
      <c r="Q9" s="152"/>
      <c r="R9" s="152"/>
      <c r="S9" s="152"/>
      <c r="T9" s="152"/>
      <c r="U9" s="152"/>
      <c r="V9" s="152"/>
      <c r="W9" s="152"/>
      <c r="X9" s="152"/>
      <c r="Y9" s="152"/>
      <c r="Z9" s="152"/>
      <c r="AA9" s="152"/>
    </row>
    <row r="10" spans="1:27" ht="13.5">
      <c r="A10" s="152" t="s">
        <v>274</v>
      </c>
      <c r="B10" s="156">
        <f>IFERROR(B5/B4,0)</f>
        <v>0</v>
      </c>
      <c r="C10" s="152"/>
      <c r="D10" s="162"/>
      <c r="E10" s="162"/>
      <c r="F10" s="162"/>
      <c r="G10" s="162"/>
      <c r="H10" s="162"/>
      <c r="I10" s="162"/>
      <c r="J10" s="162"/>
      <c r="K10" s="162"/>
      <c r="L10" s="162"/>
      <c r="M10" s="152"/>
      <c r="N10" s="152"/>
      <c r="O10" s="152"/>
      <c r="P10" s="152"/>
      <c r="Q10" s="152"/>
      <c r="R10" s="152"/>
      <c r="S10" s="152"/>
      <c r="T10" s="152"/>
      <c r="U10" s="152"/>
      <c r="V10" s="152"/>
      <c r="W10" s="152"/>
      <c r="X10" s="152"/>
      <c r="Y10" s="152"/>
      <c r="Z10" s="152"/>
      <c r="AA10" s="152"/>
    </row>
    <row r="11" spans="1:27" ht="13.5">
      <c r="A11" s="152"/>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row>
    <row r="12" spans="1:27" ht="13.5">
      <c r="A12" s="152"/>
      <c r="B12" s="152"/>
      <c r="C12" s="152"/>
      <c r="D12" s="217" t="s">
        <v>275</v>
      </c>
      <c r="E12" s="162"/>
      <c r="F12" s="162"/>
      <c r="G12" s="162"/>
      <c r="H12" s="162"/>
      <c r="I12" s="162"/>
      <c r="J12" s="162"/>
      <c r="K12" s="162"/>
      <c r="L12" s="162"/>
      <c r="M12" s="152"/>
      <c r="N12" s="152"/>
      <c r="O12" s="152"/>
      <c r="P12" s="152"/>
      <c r="Q12" s="152"/>
      <c r="R12" s="152"/>
      <c r="S12" s="152"/>
      <c r="T12" s="152"/>
      <c r="U12" s="152"/>
      <c r="V12" s="152"/>
      <c r="W12" s="152"/>
      <c r="X12" s="152"/>
      <c r="Y12" s="152"/>
      <c r="Z12" s="152"/>
      <c r="AA12" s="152"/>
    </row>
    <row r="13" spans="1:27" ht="13.5">
      <c r="A13" s="153" t="s">
        <v>207</v>
      </c>
      <c r="B13" s="153" t="s">
        <v>226</v>
      </c>
      <c r="C13" s="152"/>
      <c r="D13" s="162"/>
      <c r="E13" s="167"/>
      <c r="F13" s="167"/>
      <c r="G13" s="167"/>
      <c r="H13" s="167"/>
      <c r="I13" s="167"/>
      <c r="J13" s="167"/>
      <c r="K13" s="167"/>
      <c r="L13" s="162"/>
      <c r="M13" s="152"/>
      <c r="N13" s="152"/>
      <c r="O13" s="152"/>
      <c r="P13" s="152"/>
      <c r="Q13" s="152"/>
      <c r="R13" s="152"/>
      <c r="S13" s="152"/>
      <c r="T13" s="152"/>
      <c r="U13" s="152"/>
      <c r="V13" s="152"/>
      <c r="W13" s="152"/>
      <c r="X13" s="152"/>
      <c r="Y13" s="152"/>
      <c r="Z13" s="152"/>
      <c r="AA13" s="152"/>
    </row>
    <row r="14" spans="1:27" ht="13.5">
      <c r="A14" s="152" t="s">
        <v>232</v>
      </c>
      <c r="B14" s="152">
        <f>COUNTIF(PAPRIPACT!AB6:AB221,"Clôturée")</f>
        <v>0</v>
      </c>
      <c r="C14" s="152"/>
      <c r="D14" s="162"/>
      <c r="E14" s="162"/>
      <c r="F14" s="162"/>
      <c r="G14" s="162"/>
      <c r="H14" s="162"/>
      <c r="I14" s="162"/>
      <c r="J14" s="162"/>
      <c r="K14" s="162"/>
      <c r="L14" s="162"/>
      <c r="M14" s="152"/>
      <c r="N14" s="152"/>
      <c r="O14" s="152"/>
      <c r="P14" s="152"/>
      <c r="Q14" s="152"/>
      <c r="R14" s="152"/>
      <c r="S14" s="152"/>
      <c r="T14" s="152"/>
      <c r="U14" s="152"/>
      <c r="V14" s="152"/>
      <c r="W14" s="152"/>
      <c r="X14" s="152"/>
      <c r="Y14" s="152"/>
      <c r="Z14" s="152"/>
      <c r="AA14" s="152"/>
    </row>
    <row r="15" spans="1:27" ht="13.5">
      <c r="A15" s="152" t="s">
        <v>230</v>
      </c>
      <c r="B15" s="152">
        <f>COUNTIF(PAPRIPACT!AB6:AB221,"En cours")</f>
        <v>0</v>
      </c>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row>
    <row r="16" spans="1:27" ht="13.5">
      <c r="A16" s="152" t="s">
        <v>231</v>
      </c>
      <c r="B16" s="152">
        <f>COUNTIF(PAPRIPACT!AB6:AB221,"Bloquée")</f>
        <v>0</v>
      </c>
      <c r="C16" s="152"/>
      <c r="D16" s="217" t="s">
        <v>276</v>
      </c>
      <c r="E16" s="162"/>
      <c r="F16" s="162"/>
      <c r="G16" s="162"/>
      <c r="H16" s="162"/>
      <c r="I16" s="162"/>
      <c r="J16" s="162"/>
      <c r="K16" s="162"/>
      <c r="L16" s="162"/>
      <c r="M16" s="152"/>
      <c r="N16" s="152"/>
      <c r="O16" s="152"/>
      <c r="P16" s="152"/>
      <c r="Q16" s="152"/>
      <c r="R16" s="152"/>
      <c r="S16" s="152"/>
      <c r="T16" s="152"/>
      <c r="U16" s="152"/>
      <c r="V16" s="152"/>
      <c r="W16" s="152"/>
      <c r="X16" s="152"/>
      <c r="Y16" s="152"/>
      <c r="Z16" s="152"/>
      <c r="AA16" s="152"/>
    </row>
    <row r="17" spans="1:27" ht="13.5">
      <c r="A17" s="152" t="s">
        <v>277</v>
      </c>
      <c r="B17" s="152">
        <f>COUNTIF(PAPRIPACT!AB6:AB221,"Reportée")</f>
        <v>0</v>
      </c>
      <c r="C17" s="152"/>
      <c r="D17" s="162"/>
      <c r="E17" s="167"/>
      <c r="F17" s="167"/>
      <c r="G17" s="167"/>
      <c r="H17" s="167"/>
      <c r="I17" s="167"/>
      <c r="J17" s="167"/>
      <c r="K17" s="167"/>
      <c r="L17" s="162"/>
      <c r="M17" s="152"/>
      <c r="N17" s="152"/>
      <c r="O17" s="152"/>
      <c r="P17" s="152"/>
      <c r="Q17" s="152"/>
      <c r="R17" s="152"/>
      <c r="S17" s="152"/>
      <c r="T17" s="152"/>
      <c r="U17" s="152"/>
      <c r="V17" s="152"/>
      <c r="W17" s="152"/>
      <c r="X17" s="152"/>
      <c r="Y17" s="152"/>
      <c r="Z17" s="152"/>
      <c r="AA17" s="152"/>
    </row>
    <row r="18" spans="1:27" ht="13.5">
      <c r="A18" s="152"/>
      <c r="B18" s="152"/>
      <c r="C18" s="152"/>
      <c r="D18" s="162"/>
      <c r="E18" s="162"/>
      <c r="F18" s="162"/>
      <c r="G18" s="162"/>
      <c r="H18" s="162"/>
      <c r="I18" s="162"/>
      <c r="J18" s="162"/>
      <c r="K18" s="162"/>
      <c r="L18" s="162"/>
      <c r="M18" s="152"/>
      <c r="N18" s="152"/>
      <c r="O18" s="152"/>
      <c r="P18" s="152"/>
      <c r="Q18" s="152"/>
      <c r="R18" s="152"/>
      <c r="S18" s="152"/>
      <c r="T18" s="152"/>
      <c r="U18" s="152"/>
      <c r="V18" s="152"/>
      <c r="W18" s="152"/>
      <c r="X18" s="152"/>
      <c r="Y18" s="152"/>
      <c r="Z18" s="152"/>
      <c r="AA18" s="152"/>
    </row>
    <row r="19" spans="1:27" ht="13.5">
      <c r="A19" s="152"/>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row>
    <row r="20" spans="1:27" ht="13.5">
      <c r="A20" s="152"/>
      <c r="B20" s="152"/>
      <c r="C20" s="152"/>
      <c r="D20" s="217" t="s">
        <v>278</v>
      </c>
      <c r="E20" s="162"/>
      <c r="F20" s="162"/>
      <c r="G20" s="162"/>
      <c r="H20" s="162"/>
      <c r="I20" s="162"/>
      <c r="J20" s="162"/>
      <c r="K20" s="162"/>
      <c r="L20" s="162"/>
      <c r="M20" s="152"/>
      <c r="N20" s="152"/>
      <c r="O20" s="152"/>
      <c r="P20" s="152"/>
      <c r="Q20" s="152"/>
      <c r="R20" s="152"/>
      <c r="S20" s="152"/>
      <c r="T20" s="152"/>
      <c r="U20" s="152"/>
      <c r="V20" s="152"/>
      <c r="W20" s="152"/>
      <c r="X20" s="152"/>
      <c r="Y20" s="152"/>
      <c r="Z20" s="152"/>
      <c r="AA20" s="152"/>
    </row>
    <row r="21" spans="1:27" ht="13.5">
      <c r="A21" s="152"/>
      <c r="B21" s="152"/>
      <c r="C21" s="152"/>
      <c r="D21" s="162"/>
      <c r="E21" s="167"/>
      <c r="F21" s="167"/>
      <c r="G21" s="167"/>
      <c r="H21" s="167"/>
      <c r="I21" s="167"/>
      <c r="J21" s="167"/>
      <c r="K21" s="167"/>
      <c r="L21" s="162"/>
      <c r="M21" s="152"/>
      <c r="N21" s="152"/>
      <c r="O21" s="152"/>
      <c r="P21" s="152"/>
      <c r="Q21" s="152"/>
      <c r="R21" s="152"/>
      <c r="S21" s="152"/>
      <c r="T21" s="152"/>
      <c r="U21" s="152"/>
      <c r="V21" s="152"/>
      <c r="W21" s="152"/>
      <c r="X21" s="152"/>
      <c r="Y21" s="152"/>
      <c r="Z21" s="152"/>
      <c r="AA21" s="152"/>
    </row>
    <row r="22" spans="1:27" ht="13.5">
      <c r="A22" s="152"/>
      <c r="B22" s="152"/>
      <c r="C22" s="152"/>
      <c r="D22" s="162"/>
      <c r="E22" s="162"/>
      <c r="F22" s="162"/>
      <c r="G22" s="162"/>
      <c r="H22" s="162"/>
      <c r="I22" s="162"/>
      <c r="J22" s="162"/>
      <c r="K22" s="162"/>
      <c r="L22" s="162"/>
      <c r="M22" s="152"/>
      <c r="N22" s="152"/>
      <c r="O22" s="152"/>
      <c r="P22" s="152"/>
      <c r="Q22" s="152"/>
      <c r="R22" s="152"/>
      <c r="S22" s="152"/>
      <c r="T22" s="152"/>
      <c r="U22" s="152"/>
      <c r="V22" s="152"/>
      <c r="W22" s="152"/>
      <c r="X22" s="152"/>
      <c r="Y22" s="152"/>
      <c r="Z22" s="152"/>
      <c r="AA22" s="152"/>
    </row>
    <row r="23" spans="1:27" ht="13.5">
      <c r="A23" s="152"/>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row>
    <row r="24" spans="1:27" ht="13.5">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row>
    <row r="25" spans="1:27" ht="13.5">
      <c r="A25" s="152"/>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row>
    <row r="26" spans="1:27" ht="13.5">
      <c r="A26" s="152"/>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row>
    <row r="27" spans="1:27" ht="13.5">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row>
    <row r="28" spans="1:27" ht="13.5">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row>
    <row r="29" spans="1:27" ht="13.5">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row>
    <row r="30" spans="1:27" ht="13.5">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row>
    <row r="31" spans="1:27" ht="13.5">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row>
    <row r="32" spans="1:27" ht="13.5">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row>
    <row r="33" spans="1:27" ht="13.5">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row>
    <row r="34" spans="1:27" ht="13.5">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row>
    <row r="35" spans="1:27" ht="13.5">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row>
    <row r="36" spans="1:27" ht="13.5">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row>
    <row r="37" spans="1:27" ht="13.5">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row>
    <row r="38" spans="1:27" ht="13.5">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row>
    <row r="39" spans="1:27" ht="13.5">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row>
    <row r="40" spans="1:27" ht="13.5">
      <c r="A40" s="152"/>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row>
    <row r="41" spans="1:27" ht="13.5">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row>
    <row r="42" spans="1:27" ht="13.5">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row>
    <row r="43" spans="1:27" ht="13.5">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row>
    <row r="44" spans="1:27" ht="13.5">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row>
    <row r="45" spans="1:27" ht="13.5">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row>
    <row r="46" spans="1:27" ht="13.5">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row>
    <row r="47" spans="1:27" ht="13.5">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row>
    <row r="48" spans="1:27" ht="13.5">
      <c r="A48" s="152"/>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row>
    <row r="49" spans="1:27" ht="13.5">
      <c r="A49" s="152"/>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row>
    <row r="50" spans="1:27" ht="13.5">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row>
    <row r="51" spans="1:27" ht="13.5">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row>
    <row r="52" spans="1:27" ht="13.5">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row>
    <row r="53" spans="1:27" ht="13.5">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row>
    <row r="54" spans="1:27" ht="13.5">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row>
    <row r="55" spans="1:27" ht="13.5">
      <c r="A55" s="152"/>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row>
    <row r="56" spans="1:27" ht="13.5">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row>
    <row r="57" spans="1:27" ht="13.5">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row>
    <row r="58" spans="1:27" ht="13.5">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row>
    <row r="59" spans="1:27" ht="13.5">
      <c r="A59" s="152"/>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row>
    <row r="60" spans="1:27" ht="13.5">
      <c r="A60" s="15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row>
    <row r="61" spans="1:27" ht="13.5">
      <c r="A61" s="15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row>
    <row r="62" spans="1:27" ht="13.5">
      <c r="A62" s="15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row>
    <row r="63" spans="1:27" ht="13.5">
      <c r="A63" s="15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row>
    <row r="64" spans="1:27" ht="13.5">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row>
    <row r="65" spans="1:27" ht="13.5">
      <c r="A65" s="152"/>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row>
    <row r="66" spans="1:27" ht="13.5">
      <c r="A66" s="15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row>
    <row r="67" spans="1:27" ht="13.5">
      <c r="A67" s="15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row>
    <row r="68" spans="1:27" ht="13.5">
      <c r="A68" s="15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row>
    <row r="69" spans="1:27" ht="13.5">
      <c r="A69" s="15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row>
    <row r="70" spans="1:27" ht="13.5">
      <c r="A70" s="15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c r="AA70" s="152"/>
    </row>
    <row r="71" spans="1:27" ht="13.5">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row>
    <row r="72" spans="1:27" ht="13.5">
      <c r="A72" s="15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row>
    <row r="73" spans="1:27" ht="13.5">
      <c r="A73" s="15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row>
    <row r="74" spans="1:27" ht="13.5">
      <c r="A74" s="152"/>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row>
    <row r="75" spans="1:27" ht="13.5">
      <c r="A75" s="152"/>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c r="AA75" s="152"/>
    </row>
    <row r="76" spans="1:27" ht="13.5">
      <c r="A76" s="152"/>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row>
    <row r="77" spans="1:27" ht="13.5">
      <c r="A77" s="152"/>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52"/>
    </row>
    <row r="78" spans="1:27" ht="13.5">
      <c r="A78" s="152"/>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c r="AA78" s="152"/>
    </row>
    <row r="79" spans="1:27" ht="13.5">
      <c r="A79" s="152"/>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row>
    <row r="80" spans="1:27" ht="13.5">
      <c r="A80" s="152"/>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row>
    <row r="81" spans="1:27" ht="13.5">
      <c r="A81" s="152"/>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row>
    <row r="82" spans="1:27" ht="13.5">
      <c r="A82" s="152"/>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c r="AA82" s="152"/>
    </row>
    <row r="83" spans="1:27" ht="13.5">
      <c r="A83" s="152"/>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row>
    <row r="84" spans="1:27" ht="13.5">
      <c r="A84" s="152"/>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row>
    <row r="85" spans="1:27" ht="13.5">
      <c r="A85" s="152"/>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row>
    <row r="86" spans="1:27" ht="13.5">
      <c r="A86" s="152"/>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row>
    <row r="87" spans="1:27" ht="13.5">
      <c r="A87" s="152"/>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row>
    <row r="88" spans="1:27" ht="13.5">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row>
    <row r="89" spans="1:27" ht="13.5">
      <c r="A89" s="152"/>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row>
    <row r="90" spans="1:27" ht="13.5">
      <c r="A90" s="152"/>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row>
    <row r="91" spans="1:27" ht="13.5">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row>
    <row r="92" spans="1:27" ht="13.5">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row>
    <row r="93" spans="1:27" ht="13.5">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row>
    <row r="94" spans="1:27" ht="13.5">
      <c r="A94" s="152"/>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row>
    <row r="95" spans="1:27" ht="13.5">
      <c r="A95" s="152"/>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row>
    <row r="96" spans="1:27" ht="13.5">
      <c r="A96" s="152"/>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row>
    <row r="97" spans="1:27" ht="13.5">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row>
    <row r="98" spans="1:27" ht="13.5">
      <c r="A98" s="152"/>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row>
    <row r="99" spans="1:27" ht="13.5">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row>
    <row r="100" spans="1:27" ht="13.5">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row>
    <row r="101" spans="1:27" ht="13.5">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row>
    <row r="102" spans="1:27" ht="13.5">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row>
    <row r="103" spans="1:27" ht="13.5">
      <c r="A103" s="152"/>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row>
    <row r="104" spans="1:27" ht="13.5">
      <c r="A104" s="152"/>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row>
    <row r="105" spans="1:27" ht="13.5">
      <c r="A105" s="152"/>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row>
    <row r="106" spans="1:27" ht="13.5">
      <c r="A106" s="152"/>
      <c r="B106" s="152"/>
      <c r="C106" s="152"/>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c r="AA106" s="152"/>
    </row>
    <row r="107" spans="1:27" ht="13.5">
      <c r="A107" s="152"/>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row>
    <row r="108" spans="1:27" ht="13.5">
      <c r="A108" s="152"/>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2"/>
    </row>
    <row r="109" spans="1:27" ht="13.5">
      <c r="A109" s="152"/>
      <c r="B109" s="152"/>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2"/>
    </row>
    <row r="110" spans="1:27" ht="13.5">
      <c r="A110" s="152"/>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2"/>
    </row>
    <row r="111" spans="1:27" ht="13.5">
      <c r="A111" s="152"/>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2"/>
    </row>
    <row r="112" spans="1:27" ht="13.5">
      <c r="A112" s="152"/>
      <c r="B112" s="152"/>
      <c r="C112" s="152"/>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c r="AA112" s="152"/>
    </row>
    <row r="113" spans="1:27" ht="13.5">
      <c r="A113" s="152"/>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2"/>
    </row>
    <row r="114" spans="1:27" ht="13.5">
      <c r="A114" s="152"/>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row>
    <row r="115" spans="1:27" ht="13.5">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row>
    <row r="116" spans="1:27" ht="13.5">
      <c r="A116" s="152"/>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row>
    <row r="117" spans="1:27" ht="13.5">
      <c r="A117" s="152"/>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row>
    <row r="118" spans="1:27" ht="13.5">
      <c r="A118" s="152"/>
      <c r="B118" s="152"/>
      <c r="C118" s="152"/>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c r="AA118" s="152"/>
    </row>
    <row r="119" spans="1:27" ht="13.5">
      <c r="A119" s="152"/>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c r="AA119" s="152"/>
    </row>
    <row r="120" spans="1:27" ht="13.5">
      <c r="A120" s="152"/>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2"/>
    </row>
  </sheetData>
  <mergeCells count="7">
    <mergeCell ref="D8:L10"/>
    <mergeCell ref="D20:L22"/>
    <mergeCell ref="D16:L18"/>
    <mergeCell ref="A1:L1"/>
    <mergeCell ref="D4:L6"/>
    <mergeCell ref="D3:L3"/>
    <mergeCell ref="D12:L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20"/>
  <sheetViews>
    <sheetView workbookViewId="0"/>
  </sheetViews>
  <sheetFormatPr baseColWidth="10" defaultColWidth="9.140625" defaultRowHeight="12.75"/>
  <cols>
    <col min="1" max="1" width="34" customWidth="1"/>
    <col min="2" max="2" width="80" customWidth="1"/>
  </cols>
  <sheetData>
    <row r="1" spans="1:27" ht="18.75">
      <c r="A1" s="220" t="s">
        <v>279</v>
      </c>
      <c r="B1" s="162"/>
      <c r="C1" s="162"/>
      <c r="D1" s="162"/>
      <c r="E1" s="162"/>
      <c r="F1" s="162"/>
      <c r="G1" s="162"/>
      <c r="H1" s="162"/>
      <c r="I1" s="162"/>
      <c r="J1" s="162"/>
      <c r="K1" s="152"/>
      <c r="L1" s="152"/>
      <c r="M1" s="152"/>
      <c r="N1" s="152"/>
      <c r="O1" s="152"/>
      <c r="P1" s="152"/>
      <c r="Q1" s="152"/>
      <c r="R1" s="152"/>
      <c r="S1" s="152"/>
      <c r="T1" s="152"/>
      <c r="U1" s="152"/>
      <c r="V1" s="152"/>
      <c r="W1" s="152"/>
      <c r="X1" s="152"/>
      <c r="Y1" s="152"/>
      <c r="Z1" s="152"/>
      <c r="AA1" s="152"/>
    </row>
    <row r="2" spans="1:27" ht="13.5">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row>
    <row r="3" spans="1:27" ht="13.5">
      <c r="A3" s="216" t="s">
        <v>280</v>
      </c>
      <c r="B3" s="162"/>
      <c r="C3" s="162"/>
      <c r="D3" s="162"/>
      <c r="E3" s="162"/>
      <c r="F3" s="162"/>
      <c r="G3" s="162"/>
      <c r="H3" s="162"/>
      <c r="I3" s="162"/>
      <c r="J3" s="162"/>
      <c r="K3" s="152"/>
      <c r="L3" s="152"/>
      <c r="M3" s="152"/>
      <c r="N3" s="152"/>
      <c r="O3" s="152"/>
      <c r="P3" s="152"/>
      <c r="Q3" s="152"/>
      <c r="R3" s="152"/>
      <c r="S3" s="152"/>
      <c r="T3" s="152"/>
      <c r="U3" s="152"/>
      <c r="V3" s="152"/>
      <c r="W3" s="152"/>
      <c r="X3" s="152"/>
      <c r="Y3" s="152"/>
      <c r="Z3" s="152"/>
      <c r="AA3" s="152"/>
    </row>
    <row r="4" spans="1:27" ht="27">
      <c r="A4" s="155" t="s">
        <v>281</v>
      </c>
      <c r="B4" s="155" t="s">
        <v>282</v>
      </c>
      <c r="C4" s="152"/>
      <c r="D4" s="152"/>
      <c r="E4" s="152"/>
      <c r="F4" s="152"/>
      <c r="G4" s="152"/>
      <c r="H4" s="152"/>
      <c r="I4" s="152"/>
      <c r="J4" s="152"/>
      <c r="K4" s="152"/>
      <c r="L4" s="152"/>
      <c r="M4" s="152"/>
      <c r="N4" s="152"/>
      <c r="O4" s="152"/>
      <c r="P4" s="152"/>
      <c r="Q4" s="152"/>
      <c r="R4" s="152"/>
      <c r="S4" s="152"/>
      <c r="T4" s="152"/>
      <c r="U4" s="152"/>
      <c r="V4" s="152"/>
      <c r="W4" s="152"/>
      <c r="X4" s="152"/>
      <c r="Y4" s="152"/>
      <c r="Z4" s="152"/>
      <c r="AA4" s="152"/>
    </row>
    <row r="5" spans="1:27" ht="27">
      <c r="A5" s="155" t="s">
        <v>283</v>
      </c>
      <c r="B5" s="155" t="s">
        <v>284</v>
      </c>
      <c r="C5" s="152"/>
      <c r="D5" s="152"/>
      <c r="E5" s="152"/>
      <c r="F5" s="152"/>
      <c r="G5" s="152"/>
      <c r="H5" s="152"/>
      <c r="I5" s="152"/>
      <c r="J5" s="152"/>
      <c r="K5" s="152"/>
      <c r="L5" s="152"/>
      <c r="M5" s="152"/>
      <c r="N5" s="152"/>
      <c r="O5" s="152"/>
      <c r="P5" s="152"/>
      <c r="Q5" s="152"/>
      <c r="R5" s="152"/>
      <c r="S5" s="152"/>
      <c r="T5" s="152"/>
      <c r="U5" s="152"/>
      <c r="V5" s="152"/>
      <c r="W5" s="152"/>
      <c r="X5" s="152"/>
      <c r="Y5" s="152"/>
      <c r="Z5" s="152"/>
      <c r="AA5" s="152"/>
    </row>
    <row r="6" spans="1:27" ht="13.5">
      <c r="A6" s="155" t="s">
        <v>285</v>
      </c>
      <c r="B6" s="155" t="s">
        <v>286</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row>
    <row r="7" spans="1:27" ht="13.5">
      <c r="A7" s="155" t="s">
        <v>287</v>
      </c>
      <c r="B7" s="155" t="s">
        <v>288</v>
      </c>
      <c r="C7" s="152"/>
      <c r="D7" s="152"/>
      <c r="E7" s="152"/>
      <c r="F7" s="152"/>
      <c r="G7" s="152"/>
      <c r="H7" s="152"/>
      <c r="I7" s="152"/>
      <c r="J7" s="152"/>
      <c r="K7" s="152"/>
      <c r="L7" s="152"/>
      <c r="M7" s="152"/>
      <c r="N7" s="152"/>
      <c r="O7" s="152"/>
      <c r="P7" s="152"/>
      <c r="Q7" s="152"/>
      <c r="R7" s="152"/>
      <c r="S7" s="152"/>
      <c r="T7" s="152"/>
      <c r="U7" s="152"/>
      <c r="V7" s="152"/>
      <c r="W7" s="152"/>
      <c r="X7" s="152"/>
      <c r="Y7" s="152"/>
      <c r="Z7" s="152"/>
      <c r="AA7" s="152"/>
    </row>
    <row r="8" spans="1:27" ht="13.5">
      <c r="A8" s="155" t="s">
        <v>289</v>
      </c>
      <c r="B8" s="155" t="s">
        <v>290</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row>
    <row r="9" spans="1:27" ht="13.5">
      <c r="A9" s="155" t="s">
        <v>291</v>
      </c>
      <c r="B9" s="155" t="s">
        <v>292</v>
      </c>
      <c r="C9" s="152"/>
      <c r="D9" s="152"/>
      <c r="E9" s="152"/>
      <c r="F9" s="152"/>
      <c r="G9" s="152"/>
      <c r="H9" s="152"/>
      <c r="I9" s="152"/>
      <c r="J9" s="152"/>
      <c r="K9" s="152"/>
      <c r="L9" s="152"/>
      <c r="M9" s="152"/>
      <c r="N9" s="152"/>
      <c r="O9" s="152"/>
      <c r="P9" s="152"/>
      <c r="Q9" s="152"/>
      <c r="R9" s="152"/>
      <c r="S9" s="152"/>
      <c r="T9" s="152"/>
      <c r="U9" s="152"/>
      <c r="V9" s="152"/>
      <c r="W9" s="152"/>
      <c r="X9" s="152"/>
      <c r="Y9" s="152"/>
      <c r="Z9" s="152"/>
      <c r="AA9" s="152"/>
    </row>
    <row r="10" spans="1:27" ht="13.5">
      <c r="A10" s="152"/>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row>
    <row r="11" spans="1:27" ht="13.5">
      <c r="A11" s="216" t="s">
        <v>293</v>
      </c>
      <c r="B11" s="162"/>
      <c r="C11" s="162"/>
      <c r="D11" s="162"/>
      <c r="E11" s="162"/>
      <c r="F11" s="162"/>
      <c r="G11" s="162"/>
      <c r="H11" s="162"/>
      <c r="I11" s="162"/>
      <c r="J11" s="162"/>
      <c r="K11" s="152"/>
      <c r="L11" s="152"/>
      <c r="M11" s="152"/>
      <c r="N11" s="152"/>
      <c r="O11" s="152"/>
      <c r="P11" s="152"/>
      <c r="Q11" s="152"/>
      <c r="R11" s="152"/>
      <c r="S11" s="152"/>
      <c r="T11" s="152"/>
      <c r="U11" s="152"/>
      <c r="V11" s="152"/>
      <c r="W11" s="152"/>
      <c r="X11" s="152"/>
      <c r="Y11" s="152"/>
      <c r="Z11" s="152"/>
      <c r="AA11" s="152"/>
    </row>
    <row r="12" spans="1:27" ht="13.5">
      <c r="A12" s="157" t="s">
        <v>294</v>
      </c>
      <c r="B12" s="155"/>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row>
    <row r="13" spans="1:27" ht="13.5">
      <c r="A13" s="157" t="s">
        <v>295</v>
      </c>
      <c r="B13" s="155" t="s">
        <v>296</v>
      </c>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row>
    <row r="14" spans="1:27" ht="13.5">
      <c r="A14" s="157" t="s">
        <v>297</v>
      </c>
      <c r="B14" s="155"/>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row>
    <row r="15" spans="1:27" ht="13.5">
      <c r="A15" s="157" t="s">
        <v>298</v>
      </c>
      <c r="B15" s="155"/>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row>
    <row r="16" spans="1:27" ht="27">
      <c r="A16" s="157" t="s">
        <v>299</v>
      </c>
      <c r="B16" s="155"/>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row>
    <row r="17" spans="1:27" ht="13.5">
      <c r="A17" s="157" t="s">
        <v>300</v>
      </c>
      <c r="B17" s="155"/>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row>
    <row r="18" spans="1:27" ht="13.5">
      <c r="A18" s="157" t="s">
        <v>301</v>
      </c>
      <c r="B18" s="155"/>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row>
    <row r="19" spans="1:27" ht="13.5">
      <c r="A19" s="152"/>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row>
    <row r="20" spans="1:27" ht="13.5">
      <c r="A20" s="152"/>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row>
    <row r="21" spans="1:27" ht="13.5">
      <c r="A21" s="152"/>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row>
    <row r="22" spans="1:27" ht="13.5">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row>
    <row r="23" spans="1:27" ht="13.5">
      <c r="A23" s="152"/>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row>
    <row r="24" spans="1:27" ht="13.5">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row>
    <row r="25" spans="1:27" ht="13.5">
      <c r="A25" s="152"/>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row>
    <row r="26" spans="1:27" ht="13.5">
      <c r="A26" s="152"/>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row>
    <row r="27" spans="1:27" ht="13.5">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row>
    <row r="28" spans="1:27" ht="13.5">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row>
    <row r="29" spans="1:27" ht="13.5">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row>
    <row r="30" spans="1:27" ht="13.5">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row>
    <row r="31" spans="1:27" ht="13.5">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row>
    <row r="32" spans="1:27" ht="13.5">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row>
    <row r="33" spans="1:27" ht="13.5">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row>
    <row r="34" spans="1:27" ht="13.5">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row>
    <row r="35" spans="1:27" ht="13.5">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row>
    <row r="36" spans="1:27" ht="13.5">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row>
    <row r="37" spans="1:27" ht="13.5">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row>
    <row r="38" spans="1:27" ht="13.5">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row>
    <row r="39" spans="1:27" ht="13.5">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row>
    <row r="40" spans="1:27" ht="13.5">
      <c r="A40" s="152"/>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row>
    <row r="41" spans="1:27" ht="13.5">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row>
    <row r="42" spans="1:27" ht="13.5">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row>
    <row r="43" spans="1:27" ht="13.5">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row>
    <row r="44" spans="1:27" ht="13.5">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row>
    <row r="45" spans="1:27" ht="13.5">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row>
    <row r="46" spans="1:27" ht="13.5">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row>
    <row r="47" spans="1:27" ht="13.5">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row>
    <row r="48" spans="1:27" ht="13.5">
      <c r="A48" s="152"/>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row>
    <row r="49" spans="1:27" ht="13.5">
      <c r="A49" s="152"/>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row>
    <row r="50" spans="1:27" ht="13.5">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row>
    <row r="51" spans="1:27" ht="13.5">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row>
    <row r="52" spans="1:27" ht="13.5">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row>
    <row r="53" spans="1:27" ht="13.5">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row>
    <row r="54" spans="1:27" ht="13.5">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row>
    <row r="55" spans="1:27" ht="13.5">
      <c r="A55" s="152"/>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row>
    <row r="56" spans="1:27" ht="13.5">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row>
    <row r="57" spans="1:27" ht="13.5">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row>
    <row r="58" spans="1:27" ht="13.5">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row>
    <row r="59" spans="1:27" ht="13.5">
      <c r="A59" s="152"/>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row>
    <row r="60" spans="1:27" ht="13.5">
      <c r="A60" s="15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row>
    <row r="61" spans="1:27" ht="13.5">
      <c r="A61" s="15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row>
    <row r="62" spans="1:27" ht="13.5">
      <c r="A62" s="15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row>
    <row r="63" spans="1:27" ht="13.5">
      <c r="A63" s="15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row>
    <row r="64" spans="1:27" ht="13.5">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row>
    <row r="65" spans="1:27" ht="13.5">
      <c r="A65" s="152"/>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row>
    <row r="66" spans="1:27" ht="13.5">
      <c r="A66" s="15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row>
    <row r="67" spans="1:27" ht="13.5">
      <c r="A67" s="15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row>
    <row r="68" spans="1:27" ht="13.5">
      <c r="A68" s="15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row>
    <row r="69" spans="1:27" ht="13.5">
      <c r="A69" s="15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row>
    <row r="70" spans="1:27" ht="13.5">
      <c r="A70" s="15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c r="AA70" s="152"/>
    </row>
    <row r="71" spans="1:27" ht="13.5">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row>
    <row r="72" spans="1:27" ht="13.5">
      <c r="A72" s="15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row>
    <row r="73" spans="1:27" ht="13.5">
      <c r="A73" s="15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row>
    <row r="74" spans="1:27" ht="13.5">
      <c r="A74" s="152"/>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row>
    <row r="75" spans="1:27" ht="13.5">
      <c r="A75" s="152"/>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c r="AA75" s="152"/>
    </row>
    <row r="76" spans="1:27" ht="13.5">
      <c r="A76" s="152"/>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row>
    <row r="77" spans="1:27" ht="13.5">
      <c r="A77" s="152"/>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52"/>
    </row>
    <row r="78" spans="1:27" ht="13.5">
      <c r="A78" s="152"/>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c r="AA78" s="152"/>
    </row>
    <row r="79" spans="1:27" ht="13.5">
      <c r="A79" s="152"/>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row>
    <row r="80" spans="1:27" ht="13.5">
      <c r="A80" s="152"/>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row>
    <row r="81" spans="1:27" ht="13.5">
      <c r="A81" s="152"/>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row>
    <row r="82" spans="1:27" ht="13.5">
      <c r="A82" s="152"/>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c r="AA82" s="152"/>
    </row>
    <row r="83" spans="1:27" ht="13.5">
      <c r="A83" s="152"/>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row>
    <row r="84" spans="1:27" ht="13.5">
      <c r="A84" s="152"/>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row>
    <row r="85" spans="1:27" ht="13.5">
      <c r="A85" s="152"/>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row>
    <row r="86" spans="1:27" ht="13.5">
      <c r="A86" s="152"/>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row>
    <row r="87" spans="1:27" ht="13.5">
      <c r="A87" s="152"/>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row>
    <row r="88" spans="1:27" ht="13.5">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row>
    <row r="89" spans="1:27" ht="13.5">
      <c r="A89" s="152"/>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row>
    <row r="90" spans="1:27" ht="13.5">
      <c r="A90" s="152"/>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row>
    <row r="91" spans="1:27" ht="13.5">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row>
    <row r="92" spans="1:27" ht="13.5">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row>
    <row r="93" spans="1:27" ht="13.5">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row>
    <row r="94" spans="1:27" ht="13.5">
      <c r="A94" s="152"/>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row>
    <row r="95" spans="1:27" ht="13.5">
      <c r="A95" s="152"/>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row>
    <row r="96" spans="1:27" ht="13.5">
      <c r="A96" s="152"/>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row>
    <row r="97" spans="1:27" ht="13.5">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row>
    <row r="98" spans="1:27" ht="13.5">
      <c r="A98" s="152"/>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row>
    <row r="99" spans="1:27" ht="13.5">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row>
    <row r="100" spans="1:27" ht="13.5">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row>
    <row r="101" spans="1:27" ht="13.5">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row>
    <row r="102" spans="1:27" ht="13.5">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row>
    <row r="103" spans="1:27" ht="13.5">
      <c r="A103" s="152"/>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row>
    <row r="104" spans="1:27" ht="13.5">
      <c r="A104" s="152"/>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row>
    <row r="105" spans="1:27" ht="13.5">
      <c r="A105" s="152"/>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row>
    <row r="106" spans="1:27" ht="13.5">
      <c r="A106" s="152"/>
      <c r="B106" s="152"/>
      <c r="C106" s="152"/>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c r="AA106" s="152"/>
    </row>
    <row r="107" spans="1:27" ht="13.5">
      <c r="A107" s="152"/>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row>
    <row r="108" spans="1:27" ht="13.5">
      <c r="A108" s="152"/>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2"/>
    </row>
    <row r="109" spans="1:27" ht="13.5">
      <c r="A109" s="152"/>
      <c r="B109" s="152"/>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2"/>
    </row>
    <row r="110" spans="1:27" ht="13.5">
      <c r="A110" s="152"/>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2"/>
    </row>
    <row r="111" spans="1:27" ht="13.5">
      <c r="A111" s="152"/>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2"/>
    </row>
    <row r="112" spans="1:27" ht="13.5">
      <c r="A112" s="152"/>
      <c r="B112" s="152"/>
      <c r="C112" s="152"/>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c r="AA112" s="152"/>
    </row>
    <row r="113" spans="1:27" ht="13.5">
      <c r="A113" s="152"/>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2"/>
    </row>
    <row r="114" spans="1:27" ht="13.5">
      <c r="A114" s="152"/>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row>
    <row r="115" spans="1:27" ht="13.5">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row>
    <row r="116" spans="1:27" ht="13.5">
      <c r="A116" s="152"/>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row>
    <row r="117" spans="1:27" ht="13.5">
      <c r="A117" s="152"/>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row>
    <row r="118" spans="1:27" ht="13.5">
      <c r="A118" s="152"/>
      <c r="B118" s="152"/>
      <c r="C118" s="152"/>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c r="AA118" s="152"/>
    </row>
    <row r="119" spans="1:27" ht="13.5">
      <c r="A119" s="152"/>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c r="AA119" s="152"/>
    </row>
    <row r="120" spans="1:27" ht="13.5">
      <c r="A120" s="152"/>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2"/>
    </row>
  </sheetData>
  <mergeCells count="3">
    <mergeCell ref="A1:J1"/>
    <mergeCell ref="A3:J3"/>
    <mergeCell ref="A11:J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120"/>
  <sheetViews>
    <sheetView workbookViewId="0"/>
  </sheetViews>
  <sheetFormatPr baseColWidth="10" defaultColWidth="9.140625" defaultRowHeight="12.75"/>
  <cols>
    <col min="1" max="1" width="28" customWidth="1"/>
    <col min="2" max="3" width="48" customWidth="1"/>
    <col min="4" max="4" width="58" customWidth="1"/>
  </cols>
  <sheetData>
    <row r="1" spans="1:27" ht="18.75">
      <c r="A1" s="220" t="s">
        <v>302</v>
      </c>
      <c r="B1" s="162"/>
      <c r="C1" s="162"/>
      <c r="D1" s="162"/>
      <c r="E1" s="152"/>
      <c r="F1" s="152"/>
      <c r="G1" s="152"/>
      <c r="H1" s="152"/>
      <c r="I1" s="152"/>
      <c r="J1" s="152"/>
      <c r="K1" s="152"/>
      <c r="L1" s="152"/>
      <c r="M1" s="152"/>
      <c r="N1" s="152"/>
      <c r="O1" s="152"/>
      <c r="P1" s="152"/>
      <c r="Q1" s="152"/>
      <c r="R1" s="152"/>
      <c r="S1" s="152"/>
      <c r="T1" s="152"/>
      <c r="U1" s="152"/>
      <c r="V1" s="152"/>
      <c r="W1" s="152"/>
      <c r="X1" s="152"/>
      <c r="Y1" s="152"/>
      <c r="Z1" s="152"/>
      <c r="AA1" s="152"/>
    </row>
    <row r="2" spans="1:27" ht="13.5">
      <c r="A2" s="152"/>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2"/>
    </row>
    <row r="3" spans="1:27" ht="13.5">
      <c r="A3" s="158" t="s">
        <v>303</v>
      </c>
      <c r="B3" s="158" t="s">
        <v>304</v>
      </c>
      <c r="C3" s="158" t="s">
        <v>305</v>
      </c>
      <c r="D3" s="158" t="s">
        <v>306</v>
      </c>
      <c r="E3" s="152"/>
      <c r="F3" s="152"/>
      <c r="G3" s="152"/>
      <c r="H3" s="152"/>
      <c r="I3" s="152"/>
      <c r="J3" s="152"/>
      <c r="K3" s="152"/>
      <c r="L3" s="152"/>
      <c r="M3" s="152"/>
      <c r="N3" s="152"/>
      <c r="O3" s="152"/>
      <c r="P3" s="152"/>
      <c r="Q3" s="152"/>
      <c r="R3" s="152"/>
      <c r="S3" s="152"/>
      <c r="T3" s="152"/>
      <c r="U3" s="152"/>
      <c r="V3" s="152"/>
      <c r="W3" s="152"/>
      <c r="X3" s="152"/>
      <c r="Y3" s="152"/>
      <c r="Z3" s="152"/>
      <c r="AA3" s="152"/>
    </row>
    <row r="4" spans="1:27" ht="40.5">
      <c r="A4" s="155" t="s">
        <v>307</v>
      </c>
      <c r="B4" s="155" t="s">
        <v>308</v>
      </c>
      <c r="C4" s="155" t="s">
        <v>309</v>
      </c>
      <c r="D4" s="155" t="s">
        <v>310</v>
      </c>
      <c r="E4" s="152"/>
      <c r="F4" s="152"/>
      <c r="G4" s="152"/>
      <c r="H4" s="152"/>
      <c r="I4" s="152"/>
      <c r="J4" s="152"/>
      <c r="K4" s="152"/>
      <c r="L4" s="152"/>
      <c r="M4" s="152"/>
      <c r="N4" s="152"/>
      <c r="O4" s="152"/>
      <c r="P4" s="152"/>
      <c r="Q4" s="152"/>
      <c r="R4" s="152"/>
      <c r="S4" s="152"/>
      <c r="T4" s="152"/>
      <c r="U4" s="152"/>
      <c r="V4" s="152"/>
      <c r="W4" s="152"/>
      <c r="X4" s="152"/>
      <c r="Y4" s="152"/>
      <c r="Z4" s="152"/>
      <c r="AA4" s="152"/>
    </row>
    <row r="5" spans="1:27" ht="40.5">
      <c r="A5" s="155" t="s">
        <v>311</v>
      </c>
      <c r="B5" s="155" t="s">
        <v>312</v>
      </c>
      <c r="C5" s="155" t="s">
        <v>313</v>
      </c>
      <c r="D5" s="155" t="s">
        <v>314</v>
      </c>
      <c r="E5" s="152"/>
      <c r="F5" s="152"/>
      <c r="G5" s="152"/>
      <c r="H5" s="152"/>
      <c r="I5" s="152"/>
      <c r="J5" s="152"/>
      <c r="K5" s="152"/>
      <c r="L5" s="152"/>
      <c r="M5" s="152"/>
      <c r="N5" s="152"/>
      <c r="O5" s="152"/>
      <c r="P5" s="152"/>
      <c r="Q5" s="152"/>
      <c r="R5" s="152"/>
      <c r="S5" s="152"/>
      <c r="T5" s="152"/>
      <c r="U5" s="152"/>
      <c r="V5" s="152"/>
      <c r="W5" s="152"/>
      <c r="X5" s="152"/>
      <c r="Y5" s="152"/>
      <c r="Z5" s="152"/>
      <c r="AA5" s="152"/>
    </row>
    <row r="6" spans="1:27" ht="40.5">
      <c r="A6" s="155" t="s">
        <v>315</v>
      </c>
      <c r="B6" s="155" t="s">
        <v>316</v>
      </c>
      <c r="C6" s="155" t="s">
        <v>317</v>
      </c>
      <c r="D6" s="155" t="s">
        <v>318</v>
      </c>
      <c r="E6" s="152"/>
      <c r="F6" s="152"/>
      <c r="G6" s="152"/>
      <c r="H6" s="152"/>
      <c r="I6" s="152"/>
      <c r="J6" s="152"/>
      <c r="K6" s="152"/>
      <c r="L6" s="152"/>
      <c r="M6" s="152"/>
      <c r="N6" s="152"/>
      <c r="O6" s="152"/>
      <c r="P6" s="152"/>
      <c r="Q6" s="152"/>
      <c r="R6" s="152"/>
      <c r="S6" s="152"/>
      <c r="T6" s="152"/>
      <c r="U6" s="152"/>
      <c r="V6" s="152"/>
      <c r="W6" s="152"/>
      <c r="X6" s="152"/>
      <c r="Y6" s="152"/>
      <c r="Z6" s="152"/>
      <c r="AA6" s="152"/>
    </row>
    <row r="7" spans="1:27" ht="54">
      <c r="A7" s="155" t="s">
        <v>319</v>
      </c>
      <c r="B7" s="155" t="s">
        <v>320</v>
      </c>
      <c r="C7" s="155" t="s">
        <v>321</v>
      </c>
      <c r="D7" s="155" t="s">
        <v>322</v>
      </c>
      <c r="E7" s="152"/>
      <c r="F7" s="152"/>
      <c r="G7" s="152"/>
      <c r="H7" s="152"/>
      <c r="I7" s="152"/>
      <c r="J7" s="152"/>
      <c r="K7" s="152"/>
      <c r="L7" s="152"/>
      <c r="M7" s="152"/>
      <c r="N7" s="152"/>
      <c r="O7" s="152"/>
      <c r="P7" s="152"/>
      <c r="Q7" s="152"/>
      <c r="R7" s="152"/>
      <c r="S7" s="152"/>
      <c r="T7" s="152"/>
      <c r="U7" s="152"/>
      <c r="V7" s="152"/>
      <c r="W7" s="152"/>
      <c r="X7" s="152"/>
      <c r="Y7" s="152"/>
      <c r="Z7" s="152"/>
      <c r="AA7" s="152"/>
    </row>
    <row r="8" spans="1:27" ht="27">
      <c r="A8" s="155" t="s">
        <v>323</v>
      </c>
      <c r="B8" s="155" t="s">
        <v>324</v>
      </c>
      <c r="C8" s="155" t="s">
        <v>325</v>
      </c>
      <c r="D8" s="155" t="s">
        <v>326</v>
      </c>
      <c r="E8" s="152"/>
      <c r="F8" s="152"/>
      <c r="G8" s="152"/>
      <c r="H8" s="152"/>
      <c r="I8" s="152"/>
      <c r="J8" s="152"/>
      <c r="K8" s="152"/>
      <c r="L8" s="152"/>
      <c r="M8" s="152"/>
      <c r="N8" s="152"/>
      <c r="O8" s="152"/>
      <c r="P8" s="152"/>
      <c r="Q8" s="152"/>
      <c r="R8" s="152"/>
      <c r="S8" s="152"/>
      <c r="T8" s="152"/>
      <c r="U8" s="152"/>
      <c r="V8" s="152"/>
      <c r="W8" s="152"/>
      <c r="X8" s="152"/>
      <c r="Y8" s="152"/>
      <c r="Z8" s="152"/>
      <c r="AA8" s="152"/>
    </row>
    <row r="9" spans="1:27" ht="13.5">
      <c r="A9" s="152"/>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row>
    <row r="10" spans="1:27" ht="13.5">
      <c r="A10" s="152"/>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row>
    <row r="11" spans="1:27" ht="13.5">
      <c r="A11" s="152"/>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row>
    <row r="12" spans="1:27" ht="13.5">
      <c r="A12" s="152"/>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row>
    <row r="13" spans="1:27" ht="13.5">
      <c r="A13" s="152"/>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row>
    <row r="14" spans="1:27" ht="13.5">
      <c r="A14" s="152"/>
      <c r="B14" s="152"/>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row>
    <row r="15" spans="1:27" ht="13.5">
      <c r="A15" s="152"/>
      <c r="B15" s="152"/>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row>
    <row r="16" spans="1:27" ht="13.5">
      <c r="A16" s="152"/>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row>
    <row r="17" spans="1:27" ht="13.5">
      <c r="A17" s="152"/>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row>
    <row r="18" spans="1:27" ht="13.5">
      <c r="A18" s="152"/>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row>
    <row r="19" spans="1:27" ht="13.5">
      <c r="A19" s="152"/>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row>
    <row r="20" spans="1:27" ht="13.5">
      <c r="A20" s="152"/>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row>
    <row r="21" spans="1:27" ht="13.5">
      <c r="A21" s="152"/>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row>
    <row r="22" spans="1:27" ht="13.5">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row>
    <row r="23" spans="1:27" ht="13.5">
      <c r="A23" s="152"/>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row>
    <row r="24" spans="1:27" ht="13.5">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row>
    <row r="25" spans="1:27" ht="13.5">
      <c r="A25" s="152"/>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row>
    <row r="26" spans="1:27" ht="13.5">
      <c r="A26" s="152"/>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row>
    <row r="27" spans="1:27" ht="13.5">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row>
    <row r="28" spans="1:27" ht="13.5">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row>
    <row r="29" spans="1:27" ht="13.5">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row>
    <row r="30" spans="1:27" ht="13.5">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row>
    <row r="31" spans="1:27" ht="13.5">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row>
    <row r="32" spans="1:27" ht="13.5">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row>
    <row r="33" spans="1:27" ht="13.5">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row>
    <row r="34" spans="1:27" ht="13.5">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row>
    <row r="35" spans="1:27" ht="13.5">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row>
    <row r="36" spans="1:27" ht="13.5">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row>
    <row r="37" spans="1:27" ht="13.5">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row>
    <row r="38" spans="1:27" ht="13.5">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row>
    <row r="39" spans="1:27" ht="13.5">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row>
    <row r="40" spans="1:27" ht="13.5">
      <c r="A40" s="152"/>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row>
    <row r="41" spans="1:27" ht="13.5">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row>
    <row r="42" spans="1:27" ht="13.5">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row>
    <row r="43" spans="1:27" ht="13.5">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row>
    <row r="44" spans="1:27" ht="13.5">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row>
    <row r="45" spans="1:27" ht="13.5">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row>
    <row r="46" spans="1:27" ht="13.5">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row>
    <row r="47" spans="1:27" ht="13.5">
      <c r="A47" s="152"/>
      <c r="B47" s="152"/>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row>
    <row r="48" spans="1:27" ht="13.5">
      <c r="A48" s="152"/>
      <c r="B48" s="152"/>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row>
    <row r="49" spans="1:27" ht="13.5">
      <c r="A49" s="152"/>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row>
    <row r="50" spans="1:27" ht="13.5">
      <c r="A50" s="152"/>
      <c r="B50" s="152"/>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row>
    <row r="51" spans="1:27" ht="13.5">
      <c r="A51" s="152"/>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row>
    <row r="52" spans="1:27" ht="13.5">
      <c r="A52" s="152"/>
      <c r="B52" s="152"/>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row>
    <row r="53" spans="1:27" ht="13.5">
      <c r="A53" s="152"/>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row>
    <row r="54" spans="1:27" ht="13.5">
      <c r="A54" s="152"/>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row>
    <row r="55" spans="1:27" ht="13.5">
      <c r="A55" s="152"/>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row>
    <row r="56" spans="1:27" ht="13.5">
      <c r="A56" s="152"/>
      <c r="B56" s="152"/>
      <c r="C56" s="152"/>
      <c r="D56" s="152"/>
      <c r="E56" s="152"/>
      <c r="F56" s="152"/>
      <c r="G56" s="152"/>
      <c r="H56" s="152"/>
      <c r="I56" s="152"/>
      <c r="J56" s="152"/>
      <c r="K56" s="152"/>
      <c r="L56" s="152"/>
      <c r="M56" s="152"/>
      <c r="N56" s="152"/>
      <c r="O56" s="152"/>
      <c r="P56" s="152"/>
      <c r="Q56" s="152"/>
      <c r="R56" s="152"/>
      <c r="S56" s="152"/>
      <c r="T56" s="152"/>
      <c r="U56" s="152"/>
      <c r="V56" s="152"/>
      <c r="W56" s="152"/>
      <c r="X56" s="152"/>
      <c r="Y56" s="152"/>
      <c r="Z56" s="152"/>
      <c r="AA56" s="152"/>
    </row>
    <row r="57" spans="1:27" ht="13.5">
      <c r="A57" s="152"/>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row>
    <row r="58" spans="1:27" ht="13.5">
      <c r="A58" s="152"/>
      <c r="B58" s="152"/>
      <c r="C58" s="152"/>
      <c r="D58" s="152"/>
      <c r="E58" s="152"/>
      <c r="F58" s="152"/>
      <c r="G58" s="152"/>
      <c r="H58" s="152"/>
      <c r="I58" s="152"/>
      <c r="J58" s="152"/>
      <c r="K58" s="152"/>
      <c r="L58" s="152"/>
      <c r="M58" s="152"/>
      <c r="N58" s="152"/>
      <c r="O58" s="152"/>
      <c r="P58" s="152"/>
      <c r="Q58" s="152"/>
      <c r="R58" s="152"/>
      <c r="S58" s="152"/>
      <c r="T58" s="152"/>
      <c r="U58" s="152"/>
      <c r="V58" s="152"/>
      <c r="W58" s="152"/>
      <c r="X58" s="152"/>
      <c r="Y58" s="152"/>
      <c r="Z58" s="152"/>
      <c r="AA58" s="152"/>
    </row>
    <row r="59" spans="1:27" ht="13.5">
      <c r="A59" s="152"/>
      <c r="B59" s="152"/>
      <c r="C59" s="152"/>
      <c r="D59" s="152"/>
      <c r="E59" s="152"/>
      <c r="F59" s="152"/>
      <c r="G59" s="152"/>
      <c r="H59" s="152"/>
      <c r="I59" s="152"/>
      <c r="J59" s="152"/>
      <c r="K59" s="152"/>
      <c r="L59" s="152"/>
      <c r="M59" s="152"/>
      <c r="N59" s="152"/>
      <c r="O59" s="152"/>
      <c r="P59" s="152"/>
      <c r="Q59" s="152"/>
      <c r="R59" s="152"/>
      <c r="S59" s="152"/>
      <c r="T59" s="152"/>
      <c r="U59" s="152"/>
      <c r="V59" s="152"/>
      <c r="W59" s="152"/>
      <c r="X59" s="152"/>
      <c r="Y59" s="152"/>
      <c r="Z59" s="152"/>
      <c r="AA59" s="152"/>
    </row>
    <row r="60" spans="1:27" ht="13.5">
      <c r="A60" s="152"/>
      <c r="B60" s="152"/>
      <c r="C60" s="152"/>
      <c r="D60" s="152"/>
      <c r="E60" s="152"/>
      <c r="F60" s="152"/>
      <c r="G60" s="152"/>
      <c r="H60" s="152"/>
      <c r="I60" s="152"/>
      <c r="J60" s="152"/>
      <c r="K60" s="152"/>
      <c r="L60" s="152"/>
      <c r="M60" s="152"/>
      <c r="N60" s="152"/>
      <c r="O60" s="152"/>
      <c r="P60" s="152"/>
      <c r="Q60" s="152"/>
      <c r="R60" s="152"/>
      <c r="S60" s="152"/>
      <c r="T60" s="152"/>
      <c r="U60" s="152"/>
      <c r="V60" s="152"/>
      <c r="W60" s="152"/>
      <c r="X60" s="152"/>
      <c r="Y60" s="152"/>
      <c r="Z60" s="152"/>
      <c r="AA60" s="152"/>
    </row>
    <row r="61" spans="1:27" ht="13.5">
      <c r="A61" s="152"/>
      <c r="B61" s="152"/>
      <c r="C61" s="152"/>
      <c r="D61" s="152"/>
      <c r="E61" s="152"/>
      <c r="F61" s="152"/>
      <c r="G61" s="152"/>
      <c r="H61" s="152"/>
      <c r="I61" s="152"/>
      <c r="J61" s="152"/>
      <c r="K61" s="152"/>
      <c r="L61" s="152"/>
      <c r="M61" s="152"/>
      <c r="N61" s="152"/>
      <c r="O61" s="152"/>
      <c r="P61" s="152"/>
      <c r="Q61" s="152"/>
      <c r="R61" s="152"/>
      <c r="S61" s="152"/>
      <c r="T61" s="152"/>
      <c r="U61" s="152"/>
      <c r="V61" s="152"/>
      <c r="W61" s="152"/>
      <c r="X61" s="152"/>
      <c r="Y61" s="152"/>
      <c r="Z61" s="152"/>
      <c r="AA61" s="152"/>
    </row>
    <row r="62" spans="1:27" ht="13.5">
      <c r="A62" s="15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row>
    <row r="63" spans="1:27" ht="13.5">
      <c r="A63" s="15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row>
    <row r="64" spans="1:27" ht="13.5">
      <c r="A64" s="152"/>
      <c r="B64" s="152"/>
      <c r="C64" s="152"/>
      <c r="D64" s="152"/>
      <c r="E64" s="152"/>
      <c r="F64" s="152"/>
      <c r="G64" s="152"/>
      <c r="H64" s="152"/>
      <c r="I64" s="152"/>
      <c r="J64" s="152"/>
      <c r="K64" s="152"/>
      <c r="L64" s="152"/>
      <c r="M64" s="152"/>
      <c r="N64" s="152"/>
      <c r="O64" s="152"/>
      <c r="P64" s="152"/>
      <c r="Q64" s="152"/>
      <c r="R64" s="152"/>
      <c r="S64" s="152"/>
      <c r="T64" s="152"/>
      <c r="U64" s="152"/>
      <c r="V64" s="152"/>
      <c r="W64" s="152"/>
      <c r="X64" s="152"/>
      <c r="Y64" s="152"/>
      <c r="Z64" s="152"/>
      <c r="AA64" s="152"/>
    </row>
    <row r="65" spans="1:27" ht="13.5">
      <c r="A65" s="152"/>
      <c r="B65" s="152"/>
      <c r="C65" s="152"/>
      <c r="D65" s="152"/>
      <c r="E65" s="152"/>
      <c r="F65" s="152"/>
      <c r="G65" s="152"/>
      <c r="H65" s="152"/>
      <c r="I65" s="152"/>
      <c r="J65" s="152"/>
      <c r="K65" s="152"/>
      <c r="L65" s="152"/>
      <c r="M65" s="152"/>
      <c r="N65" s="152"/>
      <c r="O65" s="152"/>
      <c r="P65" s="152"/>
      <c r="Q65" s="152"/>
      <c r="R65" s="152"/>
      <c r="S65" s="152"/>
      <c r="T65" s="152"/>
      <c r="U65" s="152"/>
      <c r="V65" s="152"/>
      <c r="W65" s="152"/>
      <c r="X65" s="152"/>
      <c r="Y65" s="152"/>
      <c r="Z65" s="152"/>
      <c r="AA65" s="152"/>
    </row>
    <row r="66" spans="1:27" ht="13.5">
      <c r="A66" s="152"/>
      <c r="B66" s="152"/>
      <c r="C66" s="152"/>
      <c r="D66" s="152"/>
      <c r="E66" s="152"/>
      <c r="F66" s="152"/>
      <c r="G66" s="152"/>
      <c r="H66" s="152"/>
      <c r="I66" s="152"/>
      <c r="J66" s="152"/>
      <c r="K66" s="152"/>
      <c r="L66" s="152"/>
      <c r="M66" s="152"/>
      <c r="N66" s="152"/>
      <c r="O66" s="152"/>
      <c r="P66" s="152"/>
      <c r="Q66" s="152"/>
      <c r="R66" s="152"/>
      <c r="S66" s="152"/>
      <c r="T66" s="152"/>
      <c r="U66" s="152"/>
      <c r="V66" s="152"/>
      <c r="W66" s="152"/>
      <c r="X66" s="152"/>
      <c r="Y66" s="152"/>
      <c r="Z66" s="152"/>
      <c r="AA66" s="152"/>
    </row>
    <row r="67" spans="1:27" ht="13.5">
      <c r="A67" s="152"/>
      <c r="B67" s="152"/>
      <c r="C67" s="152"/>
      <c r="D67" s="152"/>
      <c r="E67" s="152"/>
      <c r="F67" s="152"/>
      <c r="G67" s="152"/>
      <c r="H67" s="152"/>
      <c r="I67" s="152"/>
      <c r="J67" s="152"/>
      <c r="K67" s="152"/>
      <c r="L67" s="152"/>
      <c r="M67" s="152"/>
      <c r="N67" s="152"/>
      <c r="O67" s="152"/>
      <c r="P67" s="152"/>
      <c r="Q67" s="152"/>
      <c r="R67" s="152"/>
      <c r="S67" s="152"/>
      <c r="T67" s="152"/>
      <c r="U67" s="152"/>
      <c r="V67" s="152"/>
      <c r="W67" s="152"/>
      <c r="X67" s="152"/>
      <c r="Y67" s="152"/>
      <c r="Z67" s="152"/>
      <c r="AA67" s="152"/>
    </row>
    <row r="68" spans="1:27" ht="13.5">
      <c r="A68" s="152"/>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row>
    <row r="69" spans="1:27" ht="13.5">
      <c r="A69" s="152"/>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row>
    <row r="70" spans="1:27" ht="13.5">
      <c r="A70" s="152"/>
      <c r="B70" s="152"/>
      <c r="C70" s="152"/>
      <c r="D70" s="152"/>
      <c r="E70" s="152"/>
      <c r="F70" s="152"/>
      <c r="G70" s="152"/>
      <c r="H70" s="152"/>
      <c r="I70" s="152"/>
      <c r="J70" s="152"/>
      <c r="K70" s="152"/>
      <c r="L70" s="152"/>
      <c r="M70" s="152"/>
      <c r="N70" s="152"/>
      <c r="O70" s="152"/>
      <c r="P70" s="152"/>
      <c r="Q70" s="152"/>
      <c r="R70" s="152"/>
      <c r="S70" s="152"/>
      <c r="T70" s="152"/>
      <c r="U70" s="152"/>
      <c r="V70" s="152"/>
      <c r="W70" s="152"/>
      <c r="X70" s="152"/>
      <c r="Y70" s="152"/>
      <c r="Z70" s="152"/>
      <c r="AA70" s="152"/>
    </row>
    <row r="71" spans="1:27" ht="13.5">
      <c r="A71" s="152"/>
      <c r="B71" s="152"/>
      <c r="C71" s="152"/>
      <c r="D71" s="152"/>
      <c r="E71" s="152"/>
      <c r="F71" s="152"/>
      <c r="G71" s="152"/>
      <c r="H71" s="152"/>
      <c r="I71" s="152"/>
      <c r="J71" s="152"/>
      <c r="K71" s="152"/>
      <c r="L71" s="152"/>
      <c r="M71" s="152"/>
      <c r="N71" s="152"/>
      <c r="O71" s="152"/>
      <c r="P71" s="152"/>
      <c r="Q71" s="152"/>
      <c r="R71" s="152"/>
      <c r="S71" s="152"/>
      <c r="T71" s="152"/>
      <c r="U71" s="152"/>
      <c r="V71" s="152"/>
      <c r="W71" s="152"/>
      <c r="X71" s="152"/>
      <c r="Y71" s="152"/>
      <c r="Z71" s="152"/>
      <c r="AA71" s="152"/>
    </row>
    <row r="72" spans="1:27" ht="13.5">
      <c r="A72" s="152"/>
      <c r="B72" s="152"/>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row>
    <row r="73" spans="1:27" ht="13.5">
      <c r="A73" s="152"/>
      <c r="B73" s="152"/>
      <c r="C73" s="152"/>
      <c r="D73" s="152"/>
      <c r="E73" s="152"/>
      <c r="F73" s="152"/>
      <c r="G73" s="152"/>
      <c r="H73" s="152"/>
      <c r="I73" s="152"/>
      <c r="J73" s="152"/>
      <c r="K73" s="152"/>
      <c r="L73" s="152"/>
      <c r="M73" s="152"/>
      <c r="N73" s="152"/>
      <c r="O73" s="152"/>
      <c r="P73" s="152"/>
      <c r="Q73" s="152"/>
      <c r="R73" s="152"/>
      <c r="S73" s="152"/>
      <c r="T73" s="152"/>
      <c r="U73" s="152"/>
      <c r="V73" s="152"/>
      <c r="W73" s="152"/>
      <c r="X73" s="152"/>
      <c r="Y73" s="152"/>
      <c r="Z73" s="152"/>
      <c r="AA73" s="152"/>
    </row>
    <row r="74" spans="1:27" ht="13.5">
      <c r="A74" s="152"/>
      <c r="B74" s="152"/>
      <c r="C74" s="152"/>
      <c r="D74" s="152"/>
      <c r="E74" s="152"/>
      <c r="F74" s="152"/>
      <c r="G74" s="152"/>
      <c r="H74" s="152"/>
      <c r="I74" s="152"/>
      <c r="J74" s="152"/>
      <c r="K74" s="152"/>
      <c r="L74" s="152"/>
      <c r="M74" s="152"/>
      <c r="N74" s="152"/>
      <c r="O74" s="152"/>
      <c r="P74" s="152"/>
      <c r="Q74" s="152"/>
      <c r="R74" s="152"/>
      <c r="S74" s="152"/>
      <c r="T74" s="152"/>
      <c r="U74" s="152"/>
      <c r="V74" s="152"/>
      <c r="W74" s="152"/>
      <c r="X74" s="152"/>
      <c r="Y74" s="152"/>
      <c r="Z74" s="152"/>
      <c r="AA74" s="152"/>
    </row>
    <row r="75" spans="1:27" ht="13.5">
      <c r="A75" s="152"/>
      <c r="B75" s="152"/>
      <c r="C75" s="152"/>
      <c r="D75" s="152"/>
      <c r="E75" s="152"/>
      <c r="F75" s="152"/>
      <c r="G75" s="152"/>
      <c r="H75" s="152"/>
      <c r="I75" s="152"/>
      <c r="J75" s="152"/>
      <c r="K75" s="152"/>
      <c r="L75" s="152"/>
      <c r="M75" s="152"/>
      <c r="N75" s="152"/>
      <c r="O75" s="152"/>
      <c r="P75" s="152"/>
      <c r="Q75" s="152"/>
      <c r="R75" s="152"/>
      <c r="S75" s="152"/>
      <c r="T75" s="152"/>
      <c r="U75" s="152"/>
      <c r="V75" s="152"/>
      <c r="W75" s="152"/>
      <c r="X75" s="152"/>
      <c r="Y75" s="152"/>
      <c r="Z75" s="152"/>
      <c r="AA75" s="152"/>
    </row>
    <row r="76" spans="1:27" ht="13.5">
      <c r="A76" s="152"/>
      <c r="B76" s="152"/>
      <c r="C76" s="152"/>
      <c r="D76" s="152"/>
      <c r="E76" s="152"/>
      <c r="F76" s="152"/>
      <c r="G76" s="152"/>
      <c r="H76" s="152"/>
      <c r="I76" s="152"/>
      <c r="J76" s="152"/>
      <c r="K76" s="152"/>
      <c r="L76" s="152"/>
      <c r="M76" s="152"/>
      <c r="N76" s="152"/>
      <c r="O76" s="152"/>
      <c r="P76" s="152"/>
      <c r="Q76" s="152"/>
      <c r="R76" s="152"/>
      <c r="S76" s="152"/>
      <c r="T76" s="152"/>
      <c r="U76" s="152"/>
      <c r="V76" s="152"/>
      <c r="W76" s="152"/>
      <c r="X76" s="152"/>
      <c r="Y76" s="152"/>
      <c r="Z76" s="152"/>
      <c r="AA76" s="152"/>
    </row>
    <row r="77" spans="1:27" ht="13.5">
      <c r="A77" s="152"/>
      <c r="B77" s="152"/>
      <c r="C77" s="152"/>
      <c r="D77" s="152"/>
      <c r="E77" s="152"/>
      <c r="F77" s="152"/>
      <c r="G77" s="152"/>
      <c r="H77" s="152"/>
      <c r="I77" s="152"/>
      <c r="J77" s="152"/>
      <c r="K77" s="152"/>
      <c r="L77" s="152"/>
      <c r="M77" s="152"/>
      <c r="N77" s="152"/>
      <c r="O77" s="152"/>
      <c r="P77" s="152"/>
      <c r="Q77" s="152"/>
      <c r="R77" s="152"/>
      <c r="S77" s="152"/>
      <c r="T77" s="152"/>
      <c r="U77" s="152"/>
      <c r="V77" s="152"/>
      <c r="W77" s="152"/>
      <c r="X77" s="152"/>
      <c r="Y77" s="152"/>
      <c r="Z77" s="152"/>
      <c r="AA77" s="152"/>
    </row>
    <row r="78" spans="1:27" ht="13.5">
      <c r="A78" s="152"/>
      <c r="B78" s="152"/>
      <c r="C78" s="152"/>
      <c r="D78" s="152"/>
      <c r="E78" s="152"/>
      <c r="F78" s="152"/>
      <c r="G78" s="152"/>
      <c r="H78" s="152"/>
      <c r="I78" s="152"/>
      <c r="J78" s="152"/>
      <c r="K78" s="152"/>
      <c r="L78" s="152"/>
      <c r="M78" s="152"/>
      <c r="N78" s="152"/>
      <c r="O78" s="152"/>
      <c r="P78" s="152"/>
      <c r="Q78" s="152"/>
      <c r="R78" s="152"/>
      <c r="S78" s="152"/>
      <c r="T78" s="152"/>
      <c r="U78" s="152"/>
      <c r="V78" s="152"/>
      <c r="W78" s="152"/>
      <c r="X78" s="152"/>
      <c r="Y78" s="152"/>
      <c r="Z78" s="152"/>
      <c r="AA78" s="152"/>
    </row>
    <row r="79" spans="1:27" ht="13.5">
      <c r="A79" s="152"/>
      <c r="B79" s="152"/>
      <c r="C79" s="152"/>
      <c r="D79" s="152"/>
      <c r="E79" s="152"/>
      <c r="F79" s="152"/>
      <c r="G79" s="152"/>
      <c r="H79" s="152"/>
      <c r="I79" s="152"/>
      <c r="J79" s="152"/>
      <c r="K79" s="152"/>
      <c r="L79" s="152"/>
      <c r="M79" s="152"/>
      <c r="N79" s="152"/>
      <c r="O79" s="152"/>
      <c r="P79" s="152"/>
      <c r="Q79" s="152"/>
      <c r="R79" s="152"/>
      <c r="S79" s="152"/>
      <c r="T79" s="152"/>
      <c r="U79" s="152"/>
      <c r="V79" s="152"/>
      <c r="W79" s="152"/>
      <c r="X79" s="152"/>
      <c r="Y79" s="152"/>
      <c r="Z79" s="152"/>
      <c r="AA79" s="152"/>
    </row>
    <row r="80" spans="1:27" ht="13.5">
      <c r="A80" s="152"/>
      <c r="B80" s="152"/>
      <c r="C80" s="152"/>
      <c r="D80" s="152"/>
      <c r="E80" s="152"/>
      <c r="F80" s="152"/>
      <c r="G80" s="152"/>
      <c r="H80" s="152"/>
      <c r="I80" s="152"/>
      <c r="J80" s="152"/>
      <c r="K80" s="152"/>
      <c r="L80" s="152"/>
      <c r="M80" s="152"/>
      <c r="N80" s="152"/>
      <c r="O80" s="152"/>
      <c r="P80" s="152"/>
      <c r="Q80" s="152"/>
      <c r="R80" s="152"/>
      <c r="S80" s="152"/>
      <c r="T80" s="152"/>
      <c r="U80" s="152"/>
      <c r="V80" s="152"/>
      <c r="W80" s="152"/>
      <c r="X80" s="152"/>
      <c r="Y80" s="152"/>
      <c r="Z80" s="152"/>
      <c r="AA80" s="152"/>
    </row>
    <row r="81" spans="1:27" ht="13.5">
      <c r="A81" s="152"/>
      <c r="B81" s="152"/>
      <c r="C81" s="152"/>
      <c r="D81" s="152"/>
      <c r="E81" s="152"/>
      <c r="F81" s="152"/>
      <c r="G81" s="152"/>
      <c r="H81" s="152"/>
      <c r="I81" s="152"/>
      <c r="J81" s="152"/>
      <c r="K81" s="152"/>
      <c r="L81" s="152"/>
      <c r="M81" s="152"/>
      <c r="N81" s="152"/>
      <c r="O81" s="152"/>
      <c r="P81" s="152"/>
      <c r="Q81" s="152"/>
      <c r="R81" s="152"/>
      <c r="S81" s="152"/>
      <c r="T81" s="152"/>
      <c r="U81" s="152"/>
      <c r="V81" s="152"/>
      <c r="W81" s="152"/>
      <c r="X81" s="152"/>
      <c r="Y81" s="152"/>
      <c r="Z81" s="152"/>
      <c r="AA81" s="152"/>
    </row>
    <row r="82" spans="1:27" ht="13.5">
      <c r="A82" s="152"/>
      <c r="B82" s="152"/>
      <c r="C82" s="152"/>
      <c r="D82" s="152"/>
      <c r="E82" s="152"/>
      <c r="F82" s="152"/>
      <c r="G82" s="152"/>
      <c r="H82" s="152"/>
      <c r="I82" s="152"/>
      <c r="J82" s="152"/>
      <c r="K82" s="152"/>
      <c r="L82" s="152"/>
      <c r="M82" s="152"/>
      <c r="N82" s="152"/>
      <c r="O82" s="152"/>
      <c r="P82" s="152"/>
      <c r="Q82" s="152"/>
      <c r="R82" s="152"/>
      <c r="S82" s="152"/>
      <c r="T82" s="152"/>
      <c r="U82" s="152"/>
      <c r="V82" s="152"/>
      <c r="W82" s="152"/>
      <c r="X82" s="152"/>
      <c r="Y82" s="152"/>
      <c r="Z82" s="152"/>
      <c r="AA82" s="152"/>
    </row>
    <row r="83" spans="1:27" ht="13.5">
      <c r="A83" s="152"/>
      <c r="B83" s="152"/>
      <c r="C83" s="152"/>
      <c r="D83" s="152"/>
      <c r="E83" s="152"/>
      <c r="F83" s="152"/>
      <c r="G83" s="152"/>
      <c r="H83" s="152"/>
      <c r="I83" s="152"/>
      <c r="J83" s="152"/>
      <c r="K83" s="152"/>
      <c r="L83" s="152"/>
      <c r="M83" s="152"/>
      <c r="N83" s="152"/>
      <c r="O83" s="152"/>
      <c r="P83" s="152"/>
      <c r="Q83" s="152"/>
      <c r="R83" s="152"/>
      <c r="S83" s="152"/>
      <c r="T83" s="152"/>
      <c r="U83" s="152"/>
      <c r="V83" s="152"/>
      <c r="W83" s="152"/>
      <c r="X83" s="152"/>
      <c r="Y83" s="152"/>
      <c r="Z83" s="152"/>
      <c r="AA83" s="152"/>
    </row>
    <row r="84" spans="1:27" ht="13.5">
      <c r="A84" s="152"/>
      <c r="B84" s="152"/>
      <c r="C84" s="152"/>
      <c r="D84" s="152"/>
      <c r="E84" s="152"/>
      <c r="F84" s="152"/>
      <c r="G84" s="152"/>
      <c r="H84" s="152"/>
      <c r="I84" s="152"/>
      <c r="J84" s="152"/>
      <c r="K84" s="152"/>
      <c r="L84" s="152"/>
      <c r="M84" s="152"/>
      <c r="N84" s="152"/>
      <c r="O84" s="152"/>
      <c r="P84" s="152"/>
      <c r="Q84" s="152"/>
      <c r="R84" s="152"/>
      <c r="S84" s="152"/>
      <c r="T84" s="152"/>
      <c r="U84" s="152"/>
      <c r="V84" s="152"/>
      <c r="W84" s="152"/>
      <c r="X84" s="152"/>
      <c r="Y84" s="152"/>
      <c r="Z84" s="152"/>
      <c r="AA84" s="152"/>
    </row>
    <row r="85" spans="1:27" ht="13.5">
      <c r="A85" s="152"/>
      <c r="B85" s="152"/>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row>
    <row r="86" spans="1:27" ht="13.5">
      <c r="A86" s="152"/>
      <c r="B86" s="152"/>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row>
    <row r="87" spans="1:27" ht="13.5">
      <c r="A87" s="152"/>
      <c r="B87" s="152"/>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row>
    <row r="88" spans="1:27" ht="13.5">
      <c r="A88" s="152"/>
      <c r="B88" s="152"/>
      <c r="C88" s="152"/>
      <c r="D88" s="152"/>
      <c r="E88" s="152"/>
      <c r="F88" s="152"/>
      <c r="G88" s="152"/>
      <c r="H88" s="152"/>
      <c r="I88" s="152"/>
      <c r="J88" s="152"/>
      <c r="K88" s="152"/>
      <c r="L88" s="152"/>
      <c r="M88" s="152"/>
      <c r="N88" s="152"/>
      <c r="O88" s="152"/>
      <c r="P88" s="152"/>
      <c r="Q88" s="152"/>
      <c r="R88" s="152"/>
      <c r="S88" s="152"/>
      <c r="T88" s="152"/>
      <c r="U88" s="152"/>
      <c r="V88" s="152"/>
      <c r="W88" s="152"/>
      <c r="X88" s="152"/>
      <c r="Y88" s="152"/>
      <c r="Z88" s="152"/>
      <c r="AA88" s="152"/>
    </row>
    <row r="89" spans="1:27" ht="13.5">
      <c r="A89" s="152"/>
      <c r="B89" s="152"/>
      <c r="C89" s="152"/>
      <c r="D89" s="152"/>
      <c r="E89" s="152"/>
      <c r="F89" s="152"/>
      <c r="G89" s="152"/>
      <c r="H89" s="152"/>
      <c r="I89" s="152"/>
      <c r="J89" s="152"/>
      <c r="K89" s="152"/>
      <c r="L89" s="152"/>
      <c r="M89" s="152"/>
      <c r="N89" s="152"/>
      <c r="O89" s="152"/>
      <c r="P89" s="152"/>
      <c r="Q89" s="152"/>
      <c r="R89" s="152"/>
      <c r="S89" s="152"/>
      <c r="T89" s="152"/>
      <c r="U89" s="152"/>
      <c r="V89" s="152"/>
      <c r="W89" s="152"/>
      <c r="X89" s="152"/>
      <c r="Y89" s="152"/>
      <c r="Z89" s="152"/>
      <c r="AA89" s="152"/>
    </row>
    <row r="90" spans="1:27" ht="13.5">
      <c r="A90" s="152"/>
      <c r="B90" s="152"/>
      <c r="C90" s="152"/>
      <c r="D90" s="152"/>
      <c r="E90" s="152"/>
      <c r="F90" s="152"/>
      <c r="G90" s="152"/>
      <c r="H90" s="152"/>
      <c r="I90" s="152"/>
      <c r="J90" s="152"/>
      <c r="K90" s="152"/>
      <c r="L90" s="152"/>
      <c r="M90" s="152"/>
      <c r="N90" s="152"/>
      <c r="O90" s="152"/>
      <c r="P90" s="152"/>
      <c r="Q90" s="152"/>
      <c r="R90" s="152"/>
      <c r="S90" s="152"/>
      <c r="T90" s="152"/>
      <c r="U90" s="152"/>
      <c r="V90" s="152"/>
      <c r="W90" s="152"/>
      <c r="X90" s="152"/>
      <c r="Y90" s="152"/>
      <c r="Z90" s="152"/>
      <c r="AA90" s="152"/>
    </row>
    <row r="91" spans="1:27" ht="13.5">
      <c r="A91" s="152"/>
      <c r="B91" s="152"/>
      <c r="C91" s="152"/>
      <c r="D91" s="152"/>
      <c r="E91" s="152"/>
      <c r="F91" s="152"/>
      <c r="G91" s="152"/>
      <c r="H91" s="152"/>
      <c r="I91" s="152"/>
      <c r="J91" s="152"/>
      <c r="K91" s="152"/>
      <c r="L91" s="152"/>
      <c r="M91" s="152"/>
      <c r="N91" s="152"/>
      <c r="O91" s="152"/>
      <c r="P91" s="152"/>
      <c r="Q91" s="152"/>
      <c r="R91" s="152"/>
      <c r="S91" s="152"/>
      <c r="T91" s="152"/>
      <c r="U91" s="152"/>
      <c r="V91" s="152"/>
      <c r="W91" s="152"/>
      <c r="X91" s="152"/>
      <c r="Y91" s="152"/>
      <c r="Z91" s="152"/>
      <c r="AA91" s="152"/>
    </row>
    <row r="92" spans="1:27" ht="13.5">
      <c r="A92" s="152"/>
      <c r="B92" s="152"/>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row>
    <row r="93" spans="1:27" ht="13.5">
      <c r="A93" s="152"/>
      <c r="B93" s="152"/>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row>
    <row r="94" spans="1:27" ht="13.5">
      <c r="A94" s="152"/>
      <c r="B94" s="152"/>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row>
    <row r="95" spans="1:27" ht="13.5">
      <c r="A95" s="152"/>
      <c r="B95" s="152"/>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row>
    <row r="96" spans="1:27" ht="13.5">
      <c r="A96" s="152"/>
      <c r="B96" s="152"/>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row>
    <row r="97" spans="1:27" ht="13.5">
      <c r="A97" s="152"/>
      <c r="B97" s="152"/>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row>
    <row r="98" spans="1:27" ht="13.5">
      <c r="A98" s="152"/>
      <c r="B98" s="152"/>
      <c r="C98" s="152"/>
      <c r="D98" s="152"/>
      <c r="E98" s="152"/>
      <c r="F98" s="152"/>
      <c r="G98" s="152"/>
      <c r="H98" s="152"/>
      <c r="I98" s="152"/>
      <c r="J98" s="152"/>
      <c r="K98" s="152"/>
      <c r="L98" s="152"/>
      <c r="M98" s="152"/>
      <c r="N98" s="152"/>
      <c r="O98" s="152"/>
      <c r="P98" s="152"/>
      <c r="Q98" s="152"/>
      <c r="R98" s="152"/>
      <c r="S98" s="152"/>
      <c r="T98" s="152"/>
      <c r="U98" s="152"/>
      <c r="V98" s="152"/>
      <c r="W98" s="152"/>
      <c r="X98" s="152"/>
      <c r="Y98" s="152"/>
      <c r="Z98" s="152"/>
      <c r="AA98" s="152"/>
    </row>
    <row r="99" spans="1:27" ht="13.5">
      <c r="A99" s="152"/>
      <c r="B99" s="152"/>
      <c r="C99" s="152"/>
      <c r="D99" s="152"/>
      <c r="E99" s="152"/>
      <c r="F99" s="152"/>
      <c r="G99" s="152"/>
      <c r="H99" s="152"/>
      <c r="I99" s="152"/>
      <c r="J99" s="152"/>
      <c r="K99" s="152"/>
      <c r="L99" s="152"/>
      <c r="M99" s="152"/>
      <c r="N99" s="152"/>
      <c r="O99" s="152"/>
      <c r="P99" s="152"/>
      <c r="Q99" s="152"/>
      <c r="R99" s="152"/>
      <c r="S99" s="152"/>
      <c r="T99" s="152"/>
      <c r="U99" s="152"/>
      <c r="V99" s="152"/>
      <c r="W99" s="152"/>
      <c r="X99" s="152"/>
      <c r="Y99" s="152"/>
      <c r="Z99" s="152"/>
      <c r="AA99" s="152"/>
    </row>
    <row r="100" spans="1:27" ht="13.5">
      <c r="A100" s="152"/>
      <c r="B100" s="152"/>
      <c r="C100" s="152"/>
      <c r="D100" s="152"/>
      <c r="E100" s="152"/>
      <c r="F100" s="152"/>
      <c r="G100" s="152"/>
      <c r="H100" s="152"/>
      <c r="I100" s="152"/>
      <c r="J100" s="152"/>
      <c r="K100" s="152"/>
      <c r="L100" s="152"/>
      <c r="M100" s="152"/>
      <c r="N100" s="152"/>
      <c r="O100" s="152"/>
      <c r="P100" s="152"/>
      <c r="Q100" s="152"/>
      <c r="R100" s="152"/>
      <c r="S100" s="152"/>
      <c r="T100" s="152"/>
      <c r="U100" s="152"/>
      <c r="V100" s="152"/>
      <c r="W100" s="152"/>
      <c r="X100" s="152"/>
      <c r="Y100" s="152"/>
      <c r="Z100" s="152"/>
      <c r="AA100" s="152"/>
    </row>
    <row r="101" spans="1:27" ht="13.5">
      <c r="A101" s="152"/>
      <c r="B101" s="152"/>
      <c r="C101" s="152"/>
      <c r="D101" s="152"/>
      <c r="E101" s="152"/>
      <c r="F101" s="152"/>
      <c r="G101" s="152"/>
      <c r="H101" s="152"/>
      <c r="I101" s="152"/>
      <c r="J101" s="152"/>
      <c r="K101" s="152"/>
      <c r="L101" s="152"/>
      <c r="M101" s="152"/>
      <c r="N101" s="152"/>
      <c r="O101" s="152"/>
      <c r="P101" s="152"/>
      <c r="Q101" s="152"/>
      <c r="R101" s="152"/>
      <c r="S101" s="152"/>
      <c r="T101" s="152"/>
      <c r="U101" s="152"/>
      <c r="V101" s="152"/>
      <c r="W101" s="152"/>
      <c r="X101" s="152"/>
      <c r="Y101" s="152"/>
      <c r="Z101" s="152"/>
      <c r="AA101" s="152"/>
    </row>
    <row r="102" spans="1:27" ht="13.5">
      <c r="A102" s="152"/>
      <c r="B102" s="152"/>
      <c r="C102" s="152"/>
      <c r="D102" s="152"/>
      <c r="E102" s="152"/>
      <c r="F102" s="152"/>
      <c r="G102" s="152"/>
      <c r="H102" s="152"/>
      <c r="I102" s="152"/>
      <c r="J102" s="152"/>
      <c r="K102" s="152"/>
      <c r="L102" s="152"/>
      <c r="M102" s="152"/>
      <c r="N102" s="152"/>
      <c r="O102" s="152"/>
      <c r="P102" s="152"/>
      <c r="Q102" s="152"/>
      <c r="R102" s="152"/>
      <c r="S102" s="152"/>
      <c r="T102" s="152"/>
      <c r="U102" s="152"/>
      <c r="V102" s="152"/>
      <c r="W102" s="152"/>
      <c r="X102" s="152"/>
      <c r="Y102" s="152"/>
      <c r="Z102" s="152"/>
      <c r="AA102" s="152"/>
    </row>
    <row r="103" spans="1:27" ht="13.5">
      <c r="A103" s="152"/>
      <c r="B103" s="152"/>
      <c r="C103" s="152"/>
      <c r="D103" s="152"/>
      <c r="E103" s="152"/>
      <c r="F103" s="152"/>
      <c r="G103" s="152"/>
      <c r="H103" s="152"/>
      <c r="I103" s="152"/>
      <c r="J103" s="152"/>
      <c r="K103" s="152"/>
      <c r="L103" s="152"/>
      <c r="M103" s="152"/>
      <c r="N103" s="152"/>
      <c r="O103" s="152"/>
      <c r="P103" s="152"/>
      <c r="Q103" s="152"/>
      <c r="R103" s="152"/>
      <c r="S103" s="152"/>
      <c r="T103" s="152"/>
      <c r="U103" s="152"/>
      <c r="V103" s="152"/>
      <c r="W103" s="152"/>
      <c r="X103" s="152"/>
      <c r="Y103" s="152"/>
      <c r="Z103" s="152"/>
      <c r="AA103" s="152"/>
    </row>
    <row r="104" spans="1:27" ht="13.5">
      <c r="A104" s="152"/>
      <c r="B104" s="152"/>
      <c r="C104" s="152"/>
      <c r="D104" s="152"/>
      <c r="E104" s="152"/>
      <c r="F104" s="152"/>
      <c r="G104" s="152"/>
      <c r="H104" s="152"/>
      <c r="I104" s="152"/>
      <c r="J104" s="152"/>
      <c r="K104" s="152"/>
      <c r="L104" s="152"/>
      <c r="M104" s="152"/>
      <c r="N104" s="152"/>
      <c r="O104" s="152"/>
      <c r="P104" s="152"/>
      <c r="Q104" s="152"/>
      <c r="R104" s="152"/>
      <c r="S104" s="152"/>
      <c r="T104" s="152"/>
      <c r="U104" s="152"/>
      <c r="V104" s="152"/>
      <c r="W104" s="152"/>
      <c r="X104" s="152"/>
      <c r="Y104" s="152"/>
      <c r="Z104" s="152"/>
      <c r="AA104" s="152"/>
    </row>
    <row r="105" spans="1:27" ht="13.5">
      <c r="A105" s="152"/>
      <c r="B105" s="152"/>
      <c r="C105" s="152"/>
      <c r="D105" s="152"/>
      <c r="E105" s="152"/>
      <c r="F105" s="152"/>
      <c r="G105" s="152"/>
      <c r="H105" s="152"/>
      <c r="I105" s="152"/>
      <c r="J105" s="152"/>
      <c r="K105" s="152"/>
      <c r="L105" s="152"/>
      <c r="M105" s="152"/>
      <c r="N105" s="152"/>
      <c r="O105" s="152"/>
      <c r="P105" s="152"/>
      <c r="Q105" s="152"/>
      <c r="R105" s="152"/>
      <c r="S105" s="152"/>
      <c r="T105" s="152"/>
      <c r="U105" s="152"/>
      <c r="V105" s="152"/>
      <c r="W105" s="152"/>
      <c r="X105" s="152"/>
      <c r="Y105" s="152"/>
      <c r="Z105" s="152"/>
      <c r="AA105" s="152"/>
    </row>
    <row r="106" spans="1:27" ht="13.5">
      <c r="A106" s="152"/>
      <c r="B106" s="152"/>
      <c r="C106" s="152"/>
      <c r="D106" s="152"/>
      <c r="E106" s="152"/>
      <c r="F106" s="152"/>
      <c r="G106" s="152"/>
      <c r="H106" s="152"/>
      <c r="I106" s="152"/>
      <c r="J106" s="152"/>
      <c r="K106" s="152"/>
      <c r="L106" s="152"/>
      <c r="M106" s="152"/>
      <c r="N106" s="152"/>
      <c r="O106" s="152"/>
      <c r="P106" s="152"/>
      <c r="Q106" s="152"/>
      <c r="R106" s="152"/>
      <c r="S106" s="152"/>
      <c r="T106" s="152"/>
      <c r="U106" s="152"/>
      <c r="V106" s="152"/>
      <c r="W106" s="152"/>
      <c r="X106" s="152"/>
      <c r="Y106" s="152"/>
      <c r="Z106" s="152"/>
      <c r="AA106" s="152"/>
    </row>
    <row r="107" spans="1:27" ht="13.5">
      <c r="A107" s="152"/>
      <c r="B107" s="152"/>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152"/>
      <c r="Z107" s="152"/>
      <c r="AA107" s="152"/>
    </row>
    <row r="108" spans="1:27" ht="13.5">
      <c r="A108" s="152"/>
      <c r="B108" s="152"/>
      <c r="C108" s="152"/>
      <c r="D108" s="152"/>
      <c r="E108" s="152"/>
      <c r="F108" s="152"/>
      <c r="G108" s="152"/>
      <c r="H108" s="152"/>
      <c r="I108" s="152"/>
      <c r="J108" s="152"/>
      <c r="K108" s="152"/>
      <c r="L108" s="152"/>
      <c r="M108" s="152"/>
      <c r="N108" s="152"/>
      <c r="O108" s="152"/>
      <c r="P108" s="152"/>
      <c r="Q108" s="152"/>
      <c r="R108" s="152"/>
      <c r="S108" s="152"/>
      <c r="T108" s="152"/>
      <c r="U108" s="152"/>
      <c r="V108" s="152"/>
      <c r="W108" s="152"/>
      <c r="X108" s="152"/>
      <c r="Y108" s="152"/>
      <c r="Z108" s="152"/>
      <c r="AA108" s="152"/>
    </row>
    <row r="109" spans="1:27" ht="13.5">
      <c r="A109" s="152"/>
      <c r="B109" s="152"/>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2"/>
    </row>
    <row r="110" spans="1:27" ht="13.5">
      <c r="A110" s="152"/>
      <c r="B110" s="152"/>
      <c r="C110" s="152"/>
      <c r="D110" s="152"/>
      <c r="E110" s="152"/>
      <c r="F110" s="152"/>
      <c r="G110" s="152"/>
      <c r="H110" s="152"/>
      <c r="I110" s="152"/>
      <c r="J110" s="152"/>
      <c r="K110" s="152"/>
      <c r="L110" s="152"/>
      <c r="M110" s="152"/>
      <c r="N110" s="152"/>
      <c r="O110" s="152"/>
      <c r="P110" s="152"/>
      <c r="Q110" s="152"/>
      <c r="R110" s="152"/>
      <c r="S110" s="152"/>
      <c r="T110" s="152"/>
      <c r="U110" s="152"/>
      <c r="V110" s="152"/>
      <c r="W110" s="152"/>
      <c r="X110" s="152"/>
      <c r="Y110" s="152"/>
      <c r="Z110" s="152"/>
      <c r="AA110" s="152"/>
    </row>
    <row r="111" spans="1:27" ht="13.5">
      <c r="A111" s="152"/>
      <c r="B111" s="152"/>
      <c r="C111" s="152"/>
      <c r="D111" s="152"/>
      <c r="E111" s="152"/>
      <c r="F111" s="152"/>
      <c r="G111" s="152"/>
      <c r="H111" s="152"/>
      <c r="I111" s="152"/>
      <c r="J111" s="152"/>
      <c r="K111" s="152"/>
      <c r="L111" s="152"/>
      <c r="M111" s="152"/>
      <c r="N111" s="152"/>
      <c r="O111" s="152"/>
      <c r="P111" s="152"/>
      <c r="Q111" s="152"/>
      <c r="R111" s="152"/>
      <c r="S111" s="152"/>
      <c r="T111" s="152"/>
      <c r="U111" s="152"/>
      <c r="V111" s="152"/>
      <c r="W111" s="152"/>
      <c r="X111" s="152"/>
      <c r="Y111" s="152"/>
      <c r="Z111" s="152"/>
      <c r="AA111" s="152"/>
    </row>
    <row r="112" spans="1:27" ht="13.5">
      <c r="A112" s="152"/>
      <c r="B112" s="152"/>
      <c r="C112" s="152"/>
      <c r="D112" s="152"/>
      <c r="E112" s="152"/>
      <c r="F112" s="152"/>
      <c r="G112" s="152"/>
      <c r="H112" s="152"/>
      <c r="I112" s="152"/>
      <c r="J112" s="152"/>
      <c r="K112" s="152"/>
      <c r="L112" s="152"/>
      <c r="M112" s="152"/>
      <c r="N112" s="152"/>
      <c r="O112" s="152"/>
      <c r="P112" s="152"/>
      <c r="Q112" s="152"/>
      <c r="R112" s="152"/>
      <c r="S112" s="152"/>
      <c r="T112" s="152"/>
      <c r="U112" s="152"/>
      <c r="V112" s="152"/>
      <c r="W112" s="152"/>
      <c r="X112" s="152"/>
      <c r="Y112" s="152"/>
      <c r="Z112" s="152"/>
      <c r="AA112" s="152"/>
    </row>
    <row r="113" spans="1:27" ht="13.5">
      <c r="A113" s="152"/>
      <c r="B113" s="152"/>
      <c r="C113" s="152"/>
      <c r="D113" s="152"/>
      <c r="E113" s="152"/>
      <c r="F113" s="152"/>
      <c r="G113" s="152"/>
      <c r="H113" s="152"/>
      <c r="I113" s="152"/>
      <c r="J113" s="152"/>
      <c r="K113" s="152"/>
      <c r="L113" s="152"/>
      <c r="M113" s="152"/>
      <c r="N113" s="152"/>
      <c r="O113" s="152"/>
      <c r="P113" s="152"/>
      <c r="Q113" s="152"/>
      <c r="R113" s="152"/>
      <c r="S113" s="152"/>
      <c r="T113" s="152"/>
      <c r="U113" s="152"/>
      <c r="V113" s="152"/>
      <c r="W113" s="152"/>
      <c r="X113" s="152"/>
      <c r="Y113" s="152"/>
      <c r="Z113" s="152"/>
      <c r="AA113" s="152"/>
    </row>
    <row r="114" spans="1:27" ht="13.5">
      <c r="A114" s="152"/>
      <c r="B114" s="152"/>
      <c r="C114" s="152"/>
      <c r="D114" s="152"/>
      <c r="E114" s="152"/>
      <c r="F114" s="152"/>
      <c r="G114" s="152"/>
      <c r="H114" s="152"/>
      <c r="I114" s="152"/>
      <c r="J114" s="152"/>
      <c r="K114" s="152"/>
      <c r="L114" s="152"/>
      <c r="M114" s="152"/>
      <c r="N114" s="152"/>
      <c r="O114" s="152"/>
      <c r="P114" s="152"/>
      <c r="Q114" s="152"/>
      <c r="R114" s="152"/>
      <c r="S114" s="152"/>
      <c r="T114" s="152"/>
      <c r="U114" s="152"/>
      <c r="V114" s="152"/>
      <c r="W114" s="152"/>
      <c r="X114" s="152"/>
      <c r="Y114" s="152"/>
      <c r="Z114" s="152"/>
      <c r="AA114" s="152"/>
    </row>
    <row r="115" spans="1:27" ht="13.5">
      <c r="A115" s="152"/>
      <c r="B115" s="152"/>
      <c r="C115" s="152"/>
      <c r="D115" s="152"/>
      <c r="E115" s="152"/>
      <c r="F115" s="152"/>
      <c r="G115" s="152"/>
      <c r="H115" s="152"/>
      <c r="I115" s="152"/>
      <c r="J115" s="152"/>
      <c r="K115" s="152"/>
      <c r="L115" s="152"/>
      <c r="M115" s="152"/>
      <c r="N115" s="152"/>
      <c r="O115" s="152"/>
      <c r="P115" s="152"/>
      <c r="Q115" s="152"/>
      <c r="R115" s="152"/>
      <c r="S115" s="152"/>
      <c r="T115" s="152"/>
      <c r="U115" s="152"/>
      <c r="V115" s="152"/>
      <c r="W115" s="152"/>
      <c r="X115" s="152"/>
      <c r="Y115" s="152"/>
      <c r="Z115" s="152"/>
      <c r="AA115" s="152"/>
    </row>
    <row r="116" spans="1:27" ht="13.5">
      <c r="A116" s="152"/>
      <c r="B116" s="152"/>
      <c r="C116" s="152"/>
      <c r="D116" s="152"/>
      <c r="E116" s="152"/>
      <c r="F116" s="152"/>
      <c r="G116" s="152"/>
      <c r="H116" s="152"/>
      <c r="I116" s="152"/>
      <c r="J116" s="152"/>
      <c r="K116" s="152"/>
      <c r="L116" s="152"/>
      <c r="M116" s="152"/>
      <c r="N116" s="152"/>
      <c r="O116" s="152"/>
      <c r="P116" s="152"/>
      <c r="Q116" s="152"/>
      <c r="R116" s="152"/>
      <c r="S116" s="152"/>
      <c r="T116" s="152"/>
      <c r="U116" s="152"/>
      <c r="V116" s="152"/>
      <c r="W116" s="152"/>
      <c r="X116" s="152"/>
      <c r="Y116" s="152"/>
      <c r="Z116" s="152"/>
      <c r="AA116" s="152"/>
    </row>
    <row r="117" spans="1:27" ht="13.5">
      <c r="A117" s="152"/>
      <c r="B117" s="152"/>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row>
    <row r="118" spans="1:27" ht="13.5">
      <c r="A118" s="152"/>
      <c r="B118" s="152"/>
      <c r="C118" s="152"/>
      <c r="D118" s="152"/>
      <c r="E118" s="152"/>
      <c r="F118" s="152"/>
      <c r="G118" s="152"/>
      <c r="H118" s="152"/>
      <c r="I118" s="152"/>
      <c r="J118" s="152"/>
      <c r="K118" s="152"/>
      <c r="L118" s="152"/>
      <c r="M118" s="152"/>
      <c r="N118" s="152"/>
      <c r="O118" s="152"/>
      <c r="P118" s="152"/>
      <c r="Q118" s="152"/>
      <c r="R118" s="152"/>
      <c r="S118" s="152"/>
      <c r="T118" s="152"/>
      <c r="U118" s="152"/>
      <c r="V118" s="152"/>
      <c r="W118" s="152"/>
      <c r="X118" s="152"/>
      <c r="Y118" s="152"/>
      <c r="Z118" s="152"/>
      <c r="AA118" s="152"/>
    </row>
    <row r="119" spans="1:27" ht="13.5">
      <c r="A119" s="152"/>
      <c r="B119" s="152"/>
      <c r="C119" s="152"/>
      <c r="D119" s="152"/>
      <c r="E119" s="152"/>
      <c r="F119" s="152"/>
      <c r="G119" s="152"/>
      <c r="H119" s="152"/>
      <c r="I119" s="152"/>
      <c r="J119" s="152"/>
      <c r="K119" s="152"/>
      <c r="L119" s="152"/>
      <c r="M119" s="152"/>
      <c r="N119" s="152"/>
      <c r="O119" s="152"/>
      <c r="P119" s="152"/>
      <c r="Q119" s="152"/>
      <c r="R119" s="152"/>
      <c r="S119" s="152"/>
      <c r="T119" s="152"/>
      <c r="U119" s="152"/>
      <c r="V119" s="152"/>
      <c r="W119" s="152"/>
      <c r="X119" s="152"/>
      <c r="Y119" s="152"/>
      <c r="Z119" s="152"/>
      <c r="AA119" s="152"/>
    </row>
    <row r="120" spans="1:27" ht="13.5">
      <c r="A120" s="152"/>
      <c r="B120" s="152"/>
      <c r="C120" s="152"/>
      <c r="D120" s="152"/>
      <c r="E120" s="152"/>
      <c r="F120" s="152"/>
      <c r="G120" s="152"/>
      <c r="H120" s="152"/>
      <c r="I120" s="152"/>
      <c r="J120" s="152"/>
      <c r="K120" s="152"/>
      <c r="L120" s="152"/>
      <c r="M120" s="152"/>
      <c r="N120" s="152"/>
      <c r="O120" s="152"/>
      <c r="P120" s="152"/>
      <c r="Q120" s="152"/>
      <c r="R120" s="152"/>
      <c r="S120" s="152"/>
      <c r="T120" s="152"/>
      <c r="U120" s="152"/>
      <c r="V120" s="152"/>
      <c r="W120" s="152"/>
      <c r="X120" s="152"/>
      <c r="Y120" s="152"/>
      <c r="Z120" s="152"/>
      <c r="AA120" s="152"/>
    </row>
  </sheetData>
  <mergeCells count="1">
    <mergeCell ref="A1:D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0"/>
  <sheetViews>
    <sheetView workbookViewId="0"/>
  </sheetViews>
  <sheetFormatPr baseColWidth="10" defaultColWidth="9.140625" defaultRowHeight="12.75"/>
  <sheetData>
    <row r="1" spans="1:6">
      <c r="A1" s="159" t="s">
        <v>207</v>
      </c>
      <c r="B1" s="159" t="s">
        <v>193</v>
      </c>
      <c r="C1" s="159" t="s">
        <v>327</v>
      </c>
      <c r="D1" s="159" t="s">
        <v>196</v>
      </c>
      <c r="E1" s="159" t="s">
        <v>206</v>
      </c>
      <c r="F1" s="159" t="s">
        <v>328</v>
      </c>
    </row>
    <row r="2" spans="1:6">
      <c r="A2" s="160" t="s">
        <v>229</v>
      </c>
      <c r="B2" s="160" t="s">
        <v>329</v>
      </c>
      <c r="C2" s="160" t="s">
        <v>330</v>
      </c>
      <c r="D2" s="160" t="s">
        <v>331</v>
      </c>
      <c r="E2" s="160" t="s">
        <v>332</v>
      </c>
      <c r="F2" s="160" t="s">
        <v>333</v>
      </c>
    </row>
    <row r="3" spans="1:6">
      <c r="A3" s="160" t="s">
        <v>230</v>
      </c>
      <c r="B3" s="160" t="s">
        <v>334</v>
      </c>
      <c r="C3" s="160" t="s">
        <v>335</v>
      </c>
      <c r="D3" s="160" t="s">
        <v>336</v>
      </c>
      <c r="E3" s="160" t="s">
        <v>337</v>
      </c>
      <c r="F3" s="160" t="s">
        <v>338</v>
      </c>
    </row>
    <row r="4" spans="1:6">
      <c r="A4" s="160" t="s">
        <v>231</v>
      </c>
      <c r="B4" s="160" t="s">
        <v>339</v>
      </c>
      <c r="C4" s="160" t="s">
        <v>296</v>
      </c>
      <c r="D4" s="160" t="s">
        <v>340</v>
      </c>
      <c r="E4" s="160" t="s">
        <v>341</v>
      </c>
      <c r="F4" s="160" t="s">
        <v>342</v>
      </c>
    </row>
    <row r="5" spans="1:6">
      <c r="A5" s="160" t="s">
        <v>232</v>
      </c>
      <c r="B5" s="160" t="s">
        <v>343</v>
      </c>
      <c r="C5" s="160" t="s">
        <v>344</v>
      </c>
      <c r="D5" s="160" t="s">
        <v>345</v>
      </c>
      <c r="E5" s="160" t="s">
        <v>346</v>
      </c>
      <c r="F5" s="160" t="s">
        <v>347</v>
      </c>
    </row>
    <row r="6" spans="1:6">
      <c r="A6" s="160" t="s">
        <v>277</v>
      </c>
      <c r="B6" s="160"/>
      <c r="C6" s="160" t="s">
        <v>348</v>
      </c>
      <c r="D6" s="160" t="s">
        <v>349</v>
      </c>
      <c r="E6" s="160" t="s">
        <v>350</v>
      </c>
      <c r="F6" s="160"/>
    </row>
    <row r="7" spans="1:6">
      <c r="A7" s="160"/>
      <c r="B7" s="160"/>
      <c r="C7" s="160" t="s">
        <v>351</v>
      </c>
      <c r="D7" s="160" t="s">
        <v>352</v>
      </c>
      <c r="E7" s="160"/>
      <c r="F7" s="160"/>
    </row>
    <row r="8" spans="1:6">
      <c r="A8" s="160"/>
      <c r="B8" s="160"/>
      <c r="C8" s="160" t="s">
        <v>353</v>
      </c>
      <c r="D8" s="160" t="s">
        <v>354</v>
      </c>
      <c r="E8" s="160"/>
      <c r="F8" s="160"/>
    </row>
    <row r="9" spans="1:6">
      <c r="A9" s="160"/>
      <c r="B9" s="160"/>
      <c r="C9" s="160" t="s">
        <v>355</v>
      </c>
      <c r="D9" s="160" t="s">
        <v>356</v>
      </c>
      <c r="E9" s="160"/>
      <c r="F9" s="160"/>
    </row>
    <row r="10" spans="1:6">
      <c r="A10" s="160"/>
      <c r="B10" s="160"/>
      <c r="C10" s="160" t="s">
        <v>357</v>
      </c>
      <c r="D10" s="160" t="s">
        <v>357</v>
      </c>
      <c r="E10" s="160"/>
      <c r="F10" s="160"/>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Page de garde</vt:lpstr>
      <vt:lpstr>Index</vt:lpstr>
      <vt:lpstr>0</vt:lpstr>
      <vt:lpstr>UT1</vt:lpstr>
      <vt:lpstr>UT2</vt:lpstr>
      <vt:lpstr>Pénibilité</vt:lpstr>
      <vt:lpstr>PAPRIPACT</vt:lpstr>
      <vt:lpstr>Statistiques DUERP</vt:lpstr>
      <vt:lpstr>Mode d'emploi</vt:lpstr>
      <vt:lpstr>Bilan annuel</vt:lpstr>
      <vt:lpstr>Présentation CSE</vt:lpstr>
      <vt:lpstr>Références</vt:lpstr>
      <vt:lpstr>Listes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lio ju</cp:lastModifiedBy>
  <dcterms:created xsi:type="dcterms:W3CDTF">2026-09-05T06:49:19Z</dcterms:created>
  <dcterms:modified xsi:type="dcterms:W3CDTF">2026-09-05T08:47:31Z</dcterms:modified>
</cp:coreProperties>
</file>